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fSjv8jNWHTg8W6zEnvFOqslYe6ZEO7t2GbtH5JQupf6xL4JNwTx0xSvnHLNUc/nBGgNnaNZRg1FgFD7/WHkbJg==" workbookSaltValue="gfPkA50C/7AfJXah9Kb05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W17" i="20"/>
  <c r="BV25" i="16"/>
  <c r="BW16" i="20"/>
  <c r="U10" i="17"/>
  <c r="BV10" i="16"/>
  <c r="BU18" i="17"/>
  <c r="S11" i="17"/>
  <c r="BV20" i="16"/>
  <c r="T14" i="16"/>
  <c r="AZ22" i="11"/>
  <c r="X16" i="17"/>
  <c r="T17" i="11"/>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X32" i="20"/>
  <c r="G30" i="14"/>
  <c r="G23" i="14"/>
  <c r="BF17" i="8" l="1"/>
  <c r="BD12" i="8"/>
  <c r="AY14" i="8"/>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S16" i="16"/>
  <c r="BF20" i="11"/>
  <c r="AZ17" i="11"/>
  <c r="AA20" i="16"/>
  <c r="BU17" i="17"/>
  <c r="BV29" i="16"/>
  <c r="BW22" i="20"/>
  <c r="BW29" i="20"/>
  <c r="BU20" i="17"/>
  <c r="BV11" i="16"/>
  <c r="BU29" i="17"/>
  <c r="BV21" i="16"/>
  <c r="BU21" i="17"/>
  <c r="BU11" i="17"/>
  <c r="BJ28" i="11"/>
  <c r="AZ9" i="11"/>
  <c r="AZ14" i="11" s="1"/>
  <c r="AZ13" i="11"/>
  <c r="BI19" i="11"/>
  <c r="BI25" i="11"/>
  <c r="BG22" i="11"/>
  <c r="Q18" i="20"/>
  <c r="Q23" i="20" s="1"/>
  <c r="V16" i="11"/>
  <c r="Z14" i="17"/>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W13" i="20"/>
  <c r="BV13" i="16"/>
  <c r="BV28" i="16"/>
  <c r="BU25" i="17"/>
  <c r="BG21" i="11"/>
  <c r="AP18" i="20"/>
  <c r="AP26" i="21"/>
  <c r="BG19" i="11"/>
  <c r="V20" i="11"/>
  <c r="AP16" i="20"/>
  <c r="BJ16" i="11"/>
  <c r="V9" i="11"/>
  <c r="BM12" i="11"/>
  <c r="V11" i="11"/>
  <c r="BK29" i="11"/>
  <c r="BG20" i="11"/>
  <c r="BF28" i="11"/>
  <c r="BH16" i="16"/>
  <c r="BF13" i="11"/>
  <c r="BH9"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0" i="11"/>
  <c r="AL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H32" i="17"/>
  <c r="AW32" i="11"/>
  <c r="AV32" i="21"/>
  <c r="O12" i="11"/>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<sst xmlns="http://schemas.openxmlformats.org/spreadsheetml/2006/main" count="2682" uniqueCount="1193">
  <si>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</si>
  <si>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</si>
  <si>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</si>
  <si>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</si>
  <si>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</si>
  <si>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</si>
  <si>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</si>
  <si>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</si>
  <si>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</si>
  <si>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</si>
  <si>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</si>
  <si>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</si>
  <si>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</si>
  <si>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</si>
  <si>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</si>
  <si>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</si>
  <si>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</si>
  <si>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</si>
  <si>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</si>
  <si>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</si>
  <si>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</si>
  <si>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</si>
  <si>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</si>
  <si>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</si>
  <si>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</si>
  <si>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</si>
  <si>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</si>
  <si>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</si>
  <si>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</si>
  <si>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</si>
  <si>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</si>
  <si>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</si>
  <si>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</si>
  <si>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</si>
  <si>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</si>
  <si>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</si>
  <si>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</si>
  <si>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</si>
  <si>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</si>
  <si>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</si>
  <si>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</si>
  <si>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</si>
  <si>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</si>
  <si>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</si>
  <si>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</si>
  <si>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</si>
  <si>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</si>
  <si>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</si>
  <si>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</si>
  <si>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</si>
  <si>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</si>
  <si>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</si>
  <si>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</si>
  <si>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</si>
  <si>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</si>
  <si>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</si>
  <si>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</si>
  <si>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</si>
  <si>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</si>
  <si>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</si>
  <si>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</si>
  <si>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</si>
  <si>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</si>
  <si>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</si>
  <si>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</si>
  <si>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</si>
  <si>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</si>
  <si>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</si>
  <si>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</si>
  <si>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</si>
  <si>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</si>
  <si>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</si>
  <si>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</si>
  <si>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</si>
  <si>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</si>
  <si>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</si>
  <si>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</si>
  <si>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</si>
  <si>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</si>
  <si>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</si>
  <si>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</si>
  <si>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</si>
  <si>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</si>
  <si>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</si>
  <si>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</si>
  <si>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</si>
  <si>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</si>
  <si>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</si>
  <si>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</si>
  <si>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</si>
  <si>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</si>
  <si>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</si>
  <si>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</si>
  <si>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</si>
  <si>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</si>
  <si>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</si>
  <si>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</si>
  <si>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</si>
  <si>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</si>
  <si>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</si>
  <si>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</si>
  <si>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</si>
  <si>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</si>
  <si>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</si>
  <si>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</si>
  <si>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</si>
  <si>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</si>
  <si>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</si>
  <si>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</si>
  <si>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</si>
  <si>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</si>
  <si>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</si>
  <si>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</si>
  <si>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</si>
  <si>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</si>
  <si>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</si>
  <si>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</si>
  <si>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</si>
  <si>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</si>
  <si>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</si>
  <si>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</si>
  <si>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</si>
  <si>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</si>
  <si>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</si>
  <si>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</si>
  <si>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</si>
  <si>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</si>
  <si>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</si>
  <si>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</si>
  <si>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</si>
  <si>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</si>
  <si>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</si>
  <si>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</si>
  <si>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</si>
  <si>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</si>
  <si>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</si>
  <si>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</si>
  <si>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</si>
  <si>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</si>
  <si>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</si>
  <si>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</si>
  <si>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</si>
  <si>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</si>
  <si>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</si>
  <si>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</si>
  <si>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</si>
  <si>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</si>
  <si>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</si>
  <si>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</si>
  <si>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</si>
  <si>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</si>
  <si>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</si>
  <si>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</si>
  <si>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</si>
  <si>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</si>
  <si>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</si>
  <si>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</si>
  <si>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</si>
  <si>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</si>
  <si>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</si>
  <si>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</si>
  <si>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</si>
  <si>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</si>
  <si>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</si>
  <si>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</si>
  <si>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</si>
  <si>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</si>
  <si>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</si>
  <si>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</si>
  <si>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</si>
  <si>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</si>
  <si>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</si>
  <si>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</si>
  <si>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</si>
  <si>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</si>
  <si>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</si>
  <si>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</si>
  <si>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</si>
  <si>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</si>
  <si>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</si>
  <si>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</si>
  <si>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</si>
  <si>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</si>
  <si>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</si>
  <si>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</si>
  <si>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</si>
  <si>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</si>
  <si>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</si>
  <si>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</si>
  <si>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</si>
  <si>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</si>
  <si>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</si>
  <si>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</si>
  <si>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</si>
  <si>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</si>
  <si>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</si>
  <si>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</si>
  <si>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</si>
  <si>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</si>
  <si>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</si>
  <si>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</si>
  <si>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</si>
  <si>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</si>
  <si>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</si>
  <si>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</si>
  <si>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</si>
  <si>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</si>
  <si>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</si>
  <si>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</si>
  <si>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</si>
  <si>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</si>
  <si>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</si>
  <si>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</si>
  <si>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</si>
  <si>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</si>
  <si>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</si>
  <si>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</si>
  <si>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</si>
  <si>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</si>
  <si>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</si>
  <si>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</si>
  <si>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</si>
  <si>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</si>
  <si>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</si>
  <si>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</si>
  <si>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</si>
  <si>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</si>
  <si>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</si>
  <si>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</si>
  <si>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</si>
  <si>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</si>
  <si>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</si>
  <si>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</si>
  <si>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</si>
  <si>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</si>
  <si>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</si>
  <si>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</si>
  <si>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</si>
  <si>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</si>
  <si>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</si>
  <si>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</si>
  <si>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</si>
  <si>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</si>
  <si>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</si>
  <si>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</si>
  <si>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</si>
  <si>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</si>
  <si>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</si>
  <si>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</si>
  <si>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</si>
  <si>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</si>
  <si>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</si>
  <si>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</si>
  <si>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</si>
  <si>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</si>
  <si>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</si>
  <si>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</si>
  <si>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</si>
  <si>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</si>
  <si>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</si>
  <si>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</si>
  <si>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</si>
  <si>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</si>
  <si>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</si>
  <si>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</si>
  <si>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</si>
  <si>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</si>
  <si>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</si>
  <si>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</si>
  <si>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</si>
  <si>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</si>
  <si>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</si>
  <si>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</si>
  <si>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</si>
  <si>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</si>
  <si>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</si>
  <si>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</si>
  <si>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</si>
  <si>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</si>
  <si>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</si>
  <si>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</si>
  <si>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</si>
  <si>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</si>
  <si>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</si>
  <si>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</si>
  <si>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</si>
  <si>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</si>
  <si>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</si>
  <si>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</si>
  <si>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</si>
  <si>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</si>
  <si>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</si>
  <si>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</si>
  <si>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</si>
  <si>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</si>
  <si>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</si>
  <si>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</si>
  <si>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</si>
  <si>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</si>
  <si>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</si>
  <si>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</si>
  <si>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</si>
  <si>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</si>
  <si>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</si>
  <si>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</si>
  <si>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</si>
  <si>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</si>
  <si>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</si>
  <si>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</si>
  <si>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</si>
  <si>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</si>
  <si>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</si>
  <si>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</si>
  <si>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</si>
  <si>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</si>
  <si>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</si>
  <si>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</si>
  <si>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</si>
  <si>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</si>
  <si>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</si>
  <si>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</si>
  <si>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</si>
  <si>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</si>
  <si>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</si>
  <si>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</si>
  <si>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</si>
  <si>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</si>
  <si>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</si>
  <si>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</si>
  <si>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</si>
  <si>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</si>
  <si>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</si>
  <si>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</si>
  <si>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</si>
  <si>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</si>
  <si>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</si>
  <si>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</si>
  <si>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</si>
  <si>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</si>
  <si>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</si>
  <si>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</si>
  <si>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</si>
  <si>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</si>
  <si>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</si>
  <si>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</si>
  <si>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</si>
  <si>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</si>
  <si>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</si>
  <si>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</si>
  <si>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</si>
  <si>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</si>
  <si>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</si>
  <si>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</si>
  <si>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</si>
  <si>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</si>
  <si>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</si>
  <si>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</si>
  <si>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</si>
  <si>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</si>
  <si>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</si>
  <si>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</si>
  <si>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</si>
  <si>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</si>
  <si>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</si>
  <si>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</si>
  <si>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</si>
  <si>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</si>
  <si>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</si>
  <si>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</si>
  <si>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</si>
  <si>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</si>
  <si>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</si>
  <si>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</si>
  <si>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</si>
  <si>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</si>
  <si>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</si>
  <si>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</si>
  <si>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</si>
  <si>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</si>
  <si>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</si>
  <si>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</si>
  <si>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</si>
  <si>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</si>
  <si>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</si>
  <si>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</si>
  <si>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</si>
  <si>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</si>
  <si>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</si>
  <si>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</si>
  <si>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</si>
  <si>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</si>
  <si>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</si>
  <si>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</si>
  <si>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</si>
  <si>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</si>
  <si>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</si>
  <si>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</si>
  <si>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</si>
  <si>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</si>
  <si>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</si>
  <si>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</si>
  <si>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</si>
  <si>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</si>
  <si>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</si>
  <si>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</si>
  <si>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</si>
  <si>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</si>
  <si>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</si>
  <si>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</si>
  <si>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</si>
  <si>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</si>
  <si>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</si>
  <si>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</si>
  <si>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</si>
  <si>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</si>
  <si>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</si>
  <si>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</si>
  <si>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</si>
  <si>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</si>
  <si>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</si>
  <si>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</si>
  <si>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</si>
  <si>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</si>
  <si>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</si>
  <si>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</si>
  <si>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</si>
  <si>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</si>
  <si>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</si>
  <si>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</si>
  <si>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</si>
  <si>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</si>
  <si>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</si>
  <si>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</si>
  <si>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</si>
  <si>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</si>
  <si>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</si>
  <si>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</si>
  <si>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</si>
  <si>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</si>
  <si>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</si>
  <si>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</si>
  <si>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</si>
  <si>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</si>
  <si>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</si>
  <si>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</si>
  <si>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</si>
  <si>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</si>
  <si>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</si>
  <si>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</si>
  <si>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</si>
  <si>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</si>
  <si>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</si>
  <si>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</si>
  <si>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</si>
  <si>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</si>
  <si>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</si>
  <si>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</si>
  <si>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</si>
  <si>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</si>
  <si>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</si>
  <si>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</si>
  <si>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</si>
  <si>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</si>
  <si>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</si>
  <si>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</si>
  <si>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</si>
  <si>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</si>
  <si>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</si>
  <si>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</si>
  <si>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</si>
  <si>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</si>
  <si>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</si>
  <si>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</si>
  <si>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</si>
  <si>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</si>
  <si>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</si>
  <si>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</si>
  <si>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</si>
  <si>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</si>
  <si>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</si>
  <si>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</si>
  <si>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</si>
  <si>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</si>
  <si>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</si>
  <si>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</si>
  <si>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</si>
  <si>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</si>
  <si>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</si>
  <si>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</si>
  <si>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</si>
  <si>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</si>
  <si>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</si>
  <si>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</si>
  <si>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</si>
  <si>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</si>
  <si>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</si>
  <si>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</si>
  <si>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</si>
  <si>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</si>
  <si>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</si>
  <si>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</si>
  <si>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</si>
  <si>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</si>
  <si>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</si>
  <si>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</si>
  <si>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</si>
  <si>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</si>
  <si>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</si>
  <si>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</si>
  <si>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</si>
  <si>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</si>
  <si>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</si>
  <si>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</si>
  <si>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</si>
  <si>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</si>
  <si>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</si>
  <si>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</si>
  <si>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</si>
  <si>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</si>
  <si>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</si>
  <si>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</si>
  <si>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</si>
  <si>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</si>
  <si>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</si>
  <si>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</si>
  <si>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</si>
  <si>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</si>
  <si>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</si>
  <si>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</si>
  <si>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</si>
  <si>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</si>
  <si>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</si>
  <si>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</si>
  <si>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</si>
  <si>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</si>
  <si>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</si>
  <si>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</si>
  <si>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</si>
  <si>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</si>
  <si>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</si>
  <si>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</si>
  <si>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</si>
  <si>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</si>
  <si>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</si>
  <si>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</si>
  <si>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</si>
  <si>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</si>
  <si>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</si>
  <si>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</si>
  <si>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</si>
  <si>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</si>
  <si>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</si>
  <si>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</si>
  <si>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</si>
  <si>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</si>
  <si>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</si>
  <si>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</si>
  <si>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</si>
  <si>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</si>
  <si>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</si>
  <si>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</si>
  <si>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</si>
  <si>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</si>
  <si>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</si>
  <si>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</si>
  <si>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</si>
  <si>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</si>
  <si>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</si>
  <si>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</si>
  <si>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</si>
  <si>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</si>
  <si>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</si>
  <si>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</si>
  <si>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</si>
  <si>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</si>
  <si>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</si>
  <si>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</si>
  <si>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</si>
  <si>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</si>
  <si>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</si>
  <si>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</si>
  <si>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</si>
  <si>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</si>
  <si>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</si>
  <si>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</si>
  <si>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</si>
  <si>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</si>
  <si>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</si>
  <si>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</si>
  <si>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</si>
  <si>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</si>
  <si>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</si>
  <si>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</si>
  <si>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</si>
  <si>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</si>
  <si>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</si>
  <si>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</si>
  <si>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</si>
  <si>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</si>
  <si>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</si>
  <si>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</si>
  <si>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</si>
  <si>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</si>
  <si>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</si>
  <si>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</si>
  <si>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</si>
  <si>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</si>
  <si>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</si>
  <si>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</si>
  <si>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</si>
  <si>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</si>
  <si>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</si>
  <si>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</si>
  <si>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</si>
  <si>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</si>
  <si>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</si>
  <si>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</si>
  <si>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</si>
  <si>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</si>
  <si>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</si>
  <si>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</si>
  <si>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</si>
  <si>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</si>
  <si>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</si>
  <si>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</si>
  <si>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</si>
  <si>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</si>
  <si>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</si>
  <si>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</si>
  <si>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</si>
  <si>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</si>
  <si>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</si>
  <si>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</si>
  <si>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</si>
  <si>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</si>
  <si>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</si>
  <si>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</si>
  <si>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</si>
  <si>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</si>
  <si>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</si>
  <si>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</si>
  <si>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</si>
  <si>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</si>
  <si>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</si>
  <si>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</si>
  <si>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</si>
  <si>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</si>
  <si>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</si>
  <si>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</si>
  <si>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</si>
  <si>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</si>
  <si>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</si>
  <si>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</si>
  <si>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</si>
  <si>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</si>
  <si>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</si>
  <si>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</si>
  <si>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</si>
  <si>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</si>
  <si>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</si>
  <si>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</si>
  <si>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</si>
  <si>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</si>
  <si>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</si>
  <si>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</si>
  <si>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</si>
  <si>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</si>
  <si>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</si>
  <si>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</si>
  <si>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</si>
  <si>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</si>
  <si>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</si>
  <si>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</si>
  <si>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</si>
  <si>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</si>
  <si>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</si>
  <si>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</si>
  <si>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</si>
  <si>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</si>
  <si>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</si>
  <si>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</si>
  <si>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</si>
  <si>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</si>
  <si>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</si>
  <si>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</si>
  <si>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</si>
  <si>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</si>
  <si>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</si>
  <si>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</si>
  <si>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</si>
  <si>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</si>
  <si>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</si>
  <si>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</si>
  <si>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</si>
  <si>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</si>
  <si>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</si>
  <si>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</si>
  <si>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</si>
  <si>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</si>
  <si>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</si>
  <si>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</si>
  <si>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</si>
  <si>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</si>
  <si>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</si>
  <si>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</si>
  <si>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</si>
  <si>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</si>
  <si>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</si>
  <si>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</si>
  <si>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</si>
  <si>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</si>
  <si>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</si>
  <si>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</si>
  <si>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</si>
  <si>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</si>
  <si>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</si>
  <si>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</si>
  <si>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</si>
  <si>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</si>
  <si>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</si>
  <si>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</si>
  <si>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</si>
  <si>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</si>
  <si>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</si>
  <si>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</si>
  <si>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</si>
  <si>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</si>
  <si>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</si>
  <si>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</si>
  <si>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</si>
  <si>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</si>
  <si>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</si>
  <si>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</si>
  <si>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</si>
  <si>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</si>
  <si>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</si>
  <si>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</si>
  <si>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</si>
  <si>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</si>
  <si>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</si>
  <si>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</si>
  <si>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</si>
  <si>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</si>
  <si>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</si>
  <si>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</si>
  <si>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</si>
  <si>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</si>
  <si>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</si>
  <si>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</si>
  <si>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</si>
  <si>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</si>
  <si>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</si>
  <si>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</si>
  <si>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</si>
  <si>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</si>
  <si>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</si>
  <si>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</si>
  <si>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</si>
  <si>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</si>
  <si>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</si>
  <si>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</si>
  <si>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</si>
  <si>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</si>
  <si>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</si>
  <si>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</si>
  <si>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</si>
  <si>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</si>
  <si>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</si>
  <si>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</si>
  <si>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</si>
  <si>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</si>
  <si>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</si>
  <si>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</si>
  <si>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</si>
  <si>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</si>
  <si>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</si>
  <si>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</si>
  <si>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</si>
  <si>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</si>
  <si>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</si>
  <si>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</si>
  <si>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</si>
  <si>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</si>
  <si>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</si>
  <si>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</si>
  <si>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</si>
  <si>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</si>
  <si>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</si>
  <si>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</si>
  <si>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</si>
  <si>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</si>
  <si>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</si>
  <si>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</si>
  <si>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</si>
  <si>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</si>
  <si>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</si>
  <si>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</si>
  <si>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</si>
  <si>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</si>
  <si>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</si>
  <si>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</si>
  <si>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</si>
  <si>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</si>
  <si>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</si>
  <si>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</si>
  <si>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</si>
  <si>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</si>
  <si>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</si>
  <si>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</si>
  <si>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</si>
  <si>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</si>
  <si>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</si>
  <si>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</si>
  <si>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</si>
  <si>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</si>
  <si>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</si>
  <si>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</si>
  <si>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</si>
  <si>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</si>
  <si>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</si>
  <si>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</si>
  <si>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</si>
  <si>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</si>
  <si>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</si>
  <si>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</si>
  <si>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</si>
  <si>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</si>
  <si>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</si>
  <si>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</si>
  <si>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</si>
  <si>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</si>
  <si>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</si>
  <si>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</si>
  <si>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</si>
  <si>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</si>
  <si>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</si>
  <si>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</si>
  <si>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</si>
  <si>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</si>
  <si>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</si>
  <si>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</si>
  <si>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</si>
  <si>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</si>
  <si>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</si>
  <si>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</si>
  <si>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</si>
  <si>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</si>
  <si>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</si>
  <si>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</si>
  <si>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</si>
  <si>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</si>
  <si>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</si>
  <si>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</si>
  <si>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</si>
  <si>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</si>
  <si>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</si>
  <si>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</si>
  <si>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</si>
  <si>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</si>
  <si>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</si>
  <si>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</si>
  <si>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</si>
  <si>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</si>
  <si>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</si>
  <si>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</si>
  <si>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</si>
  <si>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</si>
  <si>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</si>
  <si>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</si>
  <si>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</si>
  <si>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</si>
  <si>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</si>
  <si>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</si>
  <si>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</si>
  <si>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</si>
  <si>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</si>
  <si>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</si>
  <si>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</si>
  <si>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</si>
  <si>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</si>
  <si>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</si>
  <si>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</si>
  <si>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</si>
  <si>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</si>
  <si>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</si>
  <si>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</si>
  <si>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</si>
  <si>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</si>
  <si>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</si>
  <si>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</si>
  <si>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</si>
  <si>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</si>
  <si>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</si>
  <si>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</si>
  <si>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</si>
  <si>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</si>
  <si>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</si>
  <si>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</si>
  <si>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</si>
  <si>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</si>
  <si>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</si>
  <si>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</si>
  <si>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</si>
  <si>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</si>
  <si>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</si>
  <si>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</si>
  <si>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</si>
  <si>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</si>
  <si>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</si>
  <si>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</si>
  <si>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</si>
  <si>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</si>
  <si>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</si>
  <si>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</si>
  <si>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</si>
  <si>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</si>
  <si>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</si>
  <si>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</si>
  <si>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</si>
  <si>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</si>
  <si>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</si>
  <si>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</si>
  <si>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</si>
  <si>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</si>
  <si>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</si>
  <si>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</si>
  <si>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</si>
  <si>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</si>
  <si>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</si>
  <si>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</si>
  <si>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</si>
  <si>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</si>
  <si>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</si>
  <si>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</si>
  <si>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</si>
  <si>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</si>
  <si>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</si>
  <si>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</si>
  <si>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</si>
  <si>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</si>
  <si>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</si>
  <si>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</si>
  <si>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</si>
  <si>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</si>
  <si>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</si>
  <si>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</si>
  <si>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</si>
  <si>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</si>
  <si>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</si>
  <si>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</si>
  <si>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</si>
  <si>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</si>
  <si>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</si>
  <si>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</si>
  <si>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</si>
  <si>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</si>
  <si>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</si>
  <si>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</si>
  <si>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</si>
  <si>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</si>
  <si>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</si>
  <si>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</si>
  <si>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</si>
  <si>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</si>
  <si>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</si>
  <si>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</si>
  <si>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</si>
  <si>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</si>
  <si>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</si>
  <si>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</si>
  <si>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</si>
  <si>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</si>
  <si>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</si>
  <si>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</si>
  <si>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</si>
  <si>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</si>
  <si>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</si>
  <si>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</si>
  <si>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</si>
  <si>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</si>
  <si>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</si>
  <si>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</si>
  <si>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</si>
  <si>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</si>
  <si>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</si>
  <si>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</si>
  <si>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</si>
  <si>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</si>
  <si>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</si>
  <si>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</si>
  <si>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</si>
  <si>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</si>
  <si>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</si>
  <si>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</si>
  <si>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</si>
  <si>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</si>
  <si>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</si>
  <si>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</si>
  <si>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</si>
  <si>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</si>
  <si>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</si>
  <si>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</si>
  <si>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</si>
  <si>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</si>
  <si>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</si>
  <si>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</si>
  <si>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</si>
  <si>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</si>
  <si>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</si>
  <si>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</si>
  <si>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</si>
  <si>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</si>
  <si>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</si>
  <si>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</si>
  <si>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</si>
  <si>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</si>
  <si>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</si>
  <si>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</si>
  <si>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</si>
  <si>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</si>
  <si>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</si>
  <si>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</si>
  <si>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</si>
  <si>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</si>
  <si>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</si>
  <si>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</si>
  <si>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</si>
  <si>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</si>
  <si>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</si>
  <si>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</si>
  <si>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</si>
  <si>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</si>
  <si>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</si>
  <si>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</si>
  <si>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</si>
  <si>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</si>
  <si>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</si>
  <si>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</si>
  <si>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</si>
  <si>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</si>
  <si>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</si>
  <si>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</si>
  <si>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</si>
  <si>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</si>
  <si>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</si>
  <si>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</si>
  <si>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</si>
  <si>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</si>
  <si>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</si>
  <si>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</si>
  <si>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</si>
  <si>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</si>
  <si>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</si>
  <si>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</si>
  <si>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</si>
  <si>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</si>
  <si>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</si>
  <si>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</si>
  <si>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</si>
  <si>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</si>
  <si>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</si>
  <si>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</si>
  <si>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</si>
  <si>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</si>
  <si>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</si>
  <si>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</si>
  <si>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</si>
  <si>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</si>
  <si>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</si>
  <si>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</si>
  <si>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</si>
  <si>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</si>
  <si>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</si>
  <si>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</si>
  <si>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</si>
  <si>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</si>
  <si>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</si>
  <si>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</si>
  <si>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</si>
  <si>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</si>
  <si>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</si>
  <si>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</si>
  <si>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</si>
  <si>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</si>
  <si>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</si>
  <si>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</si>
  <si>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</si>
  <si>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</si>
  <si>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</si>
  <si>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</si>
  <si>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</si>
  <si>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</si>
  <si>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</si>
  <si>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</si>
  <si>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</si>
  <si>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</si>
  <si>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</si>
  <si>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</si>
  <si>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</si>
  <si>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</si>
  <si>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</si>
  <si>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</si>
  <si>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</si>
  <si>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</si>
  <si>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</si>
  <si>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</si>
  <si>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</si>
  <si>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</si>
  <si>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</si>
  <si>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</si>
  <si>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</si>
  <si>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</si>
  <si>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</si>
  <si>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</si>
  <si>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</si>
  <si>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</si>
  <si>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</si>
  <si>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</si>
  <si>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</si>
  <si>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</si>
  <si>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</si>
  <si>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</si>
  <si>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</si>
  <si>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</si>
  <si>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</si>
  <si>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</si>
  <si>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</si>
  <si>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</si>
  <si>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</si>
  <si>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</si>
  <si>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</si>
  <si>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</si>
  <si>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</si>
  <si>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</si>
  <si>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</si>
  <si>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</si>
  <si>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</si>
  <si>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</si>
  <si>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</si>
  <si>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</si>
  <si>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</si>
  <si>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</si>
  <si>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</si>
  <si>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</si>
  <si>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</si>
  <si>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</si>
  <si>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</si>
  <si>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</si>
  <si>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</si>
  <si>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</si>
  <si>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</si>
  <si>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</si>
  <si>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</si>
  <si>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</si>
  <si>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</si>
  <si>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</si>
  <si>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</si>
  <si>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</si>
  <si>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</si>
  <si>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</si>
  <si>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</si>
  <si>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</si>
  <si>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</si>
  <si>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</si>
  <si>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</si>
  <si>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</si>
  <si>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</si>
  <si>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</si>
  <si>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</si>
  <si>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</si>
  <si>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</si>
  <si>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</si>
  <si>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</si>
  <si>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</si>
  <si>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</si>
  <si>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</si>
  <si>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</si>
  <si>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</si>
  <si>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</si>
  <si>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</si>
  <si>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</si>
  <si>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</si>
  <si>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</si>
  <si>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</si>
  <si>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</si>
  <si>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</si>
  <si>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</si>
  <si>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</si>
  <si>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</si>
  <si>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</si>
  <si>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BARCELONA</t>
  </si>
  <si>
    <t>Resumenes por Partidos Judiciales</t>
  </si>
  <si>
    <t>VILAFRANCA DEL PENEDES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</si>
</sst>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EbKRsUXleiSnh8bxdF7nubz48aYc4Wmf/Kcm7QGqVa8I4WvlcBgXWv5d4FrUTb3L6sbq4b00yHSoK1PS/0bFw==" saltValue="kD/V8L2n8z4O2EYpPEkH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78</v>
      </c>
      <c r="D10" s="239">
        <f>IF(ISNUMBER(Datos!I10),Datos!I10," - ")</f>
        <v>90</v>
      </c>
      <c r="E10" s="240">
        <f>IF(ISNUMBER(Datos!J10),Datos!J10," - ")</f>
        <v>77</v>
      </c>
      <c r="F10" s="240">
        <f>IF(ISNUMBER(Datos!K10),Datos!K10," - ")</f>
        <v>50</v>
      </c>
      <c r="G10" s="1390" t="str">
        <f>IF(Datos!E10&lt;&gt;"",Datos!E10,Datos!D10)</f>
        <v>37</v>
      </c>
      <c r="H10" s="241">
        <f>IF(ISNUMBER(Datos!L10),Datos!L10," - ")</f>
        <v>105</v>
      </c>
      <c r="I10" s="1400" t="str">
        <f>IF(ISNUMBER(Datos!AS10/Datos!BM10),Datos!AS10/Datos!BM10," - ")</f>
        <v xml:space="preserve"> - </v>
      </c>
      <c r="J10" s="1401">
        <f>IF(ISNUMBER(Datos!BY10/Datos!CN10),Datos!BY10/Datos!CN10," - ")</f>
        <v>0</v>
      </c>
      <c r="K10" s="244">
        <f t="shared" ref="K10:K13" si="1">IF(ISNUMBER((E10-F10)/C10),(E10-F10)/C10," - ")</f>
        <v>0.34615384615384615</v>
      </c>
      <c r="L10" s="1402">
        <f>IF(ISNUMBER(NºAsuntos!I10/NºAsuntos!G10),(NºAsuntos!I10/NºAsuntos!G10)*11," - ")</f>
        <v>23.1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15.279208951340099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78</v>
      </c>
      <c r="D14" s="1407">
        <f>SUBTOTAL(9,D9:D13)</f>
        <v>90</v>
      </c>
      <c r="E14" s="1408">
        <f>SUBTOTAL(9,E9:E13)</f>
        <v>77</v>
      </c>
      <c r="F14" s="1409">
        <f>SUBTOTAL(9,F9:F13)</f>
        <v>50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3520</v>
      </c>
      <c r="D17" s="239">
        <f>IF(ISNUMBER(IF(D_I="SI",Datos!I17,Datos!I17+Datos!AC17)),IF(D_I="SI",Datos!I17,Datos!I17+Datos!AC17)," - ")</f>
        <v>3232</v>
      </c>
      <c r="E17" s="240">
        <f>IF(ISNUMBER(IF(D_I="SI",Datos!J17,Datos!J17+Datos!AD17)),IF(D_I="SI",Datos!J17,Datos!J17+Datos!AD17)," - ")</f>
        <v>4658</v>
      </c>
      <c r="F17" s="240">
        <f>IF(ISNUMBER(IF(D_I="SI",Datos!K17,Datos!K17+Datos!AE17)),IF(D_I="SI",Datos!K17,Datos!K17+Datos!AE17)," - ")</f>
        <v>4558</v>
      </c>
      <c r="G17" s="1390" t="str">
        <f>IF(Datos!E17&lt;&gt;"",Datos!E17,Datos!D17)</f>
        <v>04</v>
      </c>
      <c r="H17" s="241">
        <f>IF(ISNUMBER(IF(D_I="SI",Datos!L17,Datos!L17+Datos!AF17)),IF(D_I="SI",Datos!L17,Datos!L17+Datos!AF17)," - ")</f>
        <v>3620</v>
      </c>
      <c r="I17" s="1400" t="str">
        <f>IF(ISNUMBER(Datos!AS17/Datos!BM17),Datos!AS17/Datos!BM17," - ")</f>
        <v xml:space="preserve"> - </v>
      </c>
      <c r="J17" s="1401">
        <f>IF(ISNUMBER(Datos!BY17/Datos!CN17),Datos!BY17/Datos!CN17," - ")</f>
        <v>0</v>
      </c>
      <c r="K17" s="244">
        <f t="shared" si="3"/>
        <v>2.8409090909090908E-2</v>
      </c>
      <c r="L17" s="1402">
        <f>IF(ISNUMBER(NºAsuntos!I17/NºAsuntos!G17),(NºAsuntos!I17/NºAsuntos!G17)*11," - ")</f>
        <v>8.7362878455462933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455</v>
      </c>
      <c r="D18" s="239">
        <f>IF(ISNUMBER(IF(D_I="SI",Datos!I18,Datos!I18+Datos!AC18)),IF(D_I="SI",Datos!I18,Datos!I18+Datos!AC18)," - ")</f>
        <v>455</v>
      </c>
      <c r="E18" s="240">
        <f>IF(ISNUMBER(IF(D_I="SI",Datos!J18,Datos!J18+Datos!AD18)),IF(D_I="SI",Datos!J18,Datos!J18+Datos!AD18)," - ")</f>
        <v>469</v>
      </c>
      <c r="F18" s="240">
        <f>IF(ISNUMBER(IF(D_I="SI",Datos!K18,Datos!K18+Datos!AE18)),IF(D_I="SI",Datos!K18,Datos!K18+Datos!AE18)," - ")</f>
        <v>445</v>
      </c>
      <c r="G18" s="1390" t="str">
        <f>IF(Datos!E18&lt;&gt;"",Datos!E18,Datos!D18)</f>
        <v>37</v>
      </c>
      <c r="H18" s="241">
        <f>IF(ISNUMBER(IF(D_I="SI",Datos!L18,Datos!L18+Datos!AF18)),IF(D_I="SI",Datos!L18,Datos!L18+Datos!AF18)," - ")</f>
        <v>479</v>
      </c>
      <c r="I18" s="1400" t="str">
        <f>IF(ISNUMBER(Datos!AS18/Datos!BM18),Datos!AS18/Datos!BM18," - ")</f>
        <v xml:space="preserve"> - </v>
      </c>
      <c r="J18" s="1401" t="str">
        <f>IF(ISNUMBER((Datos!BY18+Datos!BZ18)/Datos!CN18),(Datos!BY18+Datos!BZ18)/Datos!CN18," - ")</f>
        <v xml:space="preserve"> - </v>
      </c>
      <c r="K18" s="244">
        <f t="shared" si="3"/>
        <v>5.2747252747252747E-2</v>
      </c>
      <c r="L18" s="1402">
        <f>IF(ISNUMBER(NºAsuntos!I18/NºAsuntos!G18),(NºAsuntos!I18/NºAsuntos!G18)*11," - ")</f>
        <v>11.840449438202249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3975</v>
      </c>
      <c r="D23" s="1407">
        <f>SUBTOTAL(9,D16:D22)</f>
        <v>3687</v>
      </c>
      <c r="E23" s="1408">
        <f>SUBTOTAL(9,E16:E22)</f>
        <v>5127</v>
      </c>
      <c r="F23" s="1408">
        <f>SUBTOTAL(9,F16:F22)</f>
        <v>5003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4053</v>
      </c>
      <c r="D31" s="1435">
        <f>SUBTOTAL(9,D9:D30)</f>
        <v>3777</v>
      </c>
      <c r="E31" s="1436">
        <f>SUBTOTAL(9,E9:E30)</f>
        <v>5204</v>
      </c>
      <c r="F31" s="1436">
        <f>SUBTOTAL(9,F9:F30)</f>
        <v>5053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1mD8ldBk11b3lsDIIZiuarnJGc87C7gyLRmQhbXzXPAa1JY+uifg2sZzXB7+whYK1CZO3G8wq7EnQ+rq+JQRHQ==" saltValue="M6DeneRMMX5oXNrUMz6zC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cYcyJZJnIMChTZelAxqs58Ux4JvjbF6mj8GDDgDy2ue5I+ngbhozCZSJWgH4oHGBd3FFfgjTZwzLICzf9KFBg==" saltValue="LIG4mTcI4Vk4zYsmMdsg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90</v>
      </c>
      <c r="J10" s="194">
        <v>77</v>
      </c>
      <c r="K10" s="194">
        <v>50</v>
      </c>
      <c r="L10" s="194">
        <v>105</v>
      </c>
      <c r="M10" s="194">
        <v>20</v>
      </c>
      <c r="N10" s="194">
        <v>9</v>
      </c>
      <c r="O10" s="194">
        <v>18</v>
      </c>
      <c r="P10" s="194">
        <v>4</v>
      </c>
      <c r="Q10" s="194">
        <v>4</v>
      </c>
      <c r="R10" s="194">
        <v>77</v>
      </c>
      <c r="S10" s="194">
        <v>84</v>
      </c>
      <c r="T10" s="194">
        <v>79</v>
      </c>
      <c r="U10" s="194">
        <v>73</v>
      </c>
      <c r="V10" s="194">
        <v>90</v>
      </c>
      <c r="W10" s="194">
        <v>29</v>
      </c>
      <c r="X10" s="201">
        <v>28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84</v>
      </c>
      <c r="AZ10" s="139">
        <f t="shared" si="0"/>
        <v>79</v>
      </c>
      <c r="BA10" s="139">
        <f t="shared" si="0"/>
        <v>73</v>
      </c>
      <c r="BB10" s="139">
        <f t="shared" si="0"/>
        <v>90</v>
      </c>
      <c r="BC10" s="135">
        <f t="shared" si="0"/>
        <v>29</v>
      </c>
      <c r="BD10" s="136">
        <f>IF(ISNUMBER(BA10/AZ10),BA10/AZ10," - ")</f>
        <v>0.92405063291139244</v>
      </c>
      <c r="BE10" s="137">
        <f>IF(ISNUMBER(BB10/BA10),BB10/BA10, " - ")</f>
        <v>1.2328767123287672</v>
      </c>
      <c r="BF10" s="137">
        <f>IF(ISNUMBER(BC10/BA10),BC10/BA10, " - ")</f>
        <v>0.39726027397260272</v>
      </c>
      <c r="BG10" s="209">
        <f>IF(ISNUMBER((AY10+AZ10)/BA10),(AY10+AZ10)/BA10," - ")</f>
        <v>2.2328767123287672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4128</v>
      </c>
      <c r="J12" s="196">
        <v>4625</v>
      </c>
      <c r="K12" s="196">
        <v>3666</v>
      </c>
      <c r="L12" s="196">
        <v>5187</v>
      </c>
      <c r="M12" s="196">
        <v>999</v>
      </c>
      <c r="N12" s="196">
        <v>1508</v>
      </c>
      <c r="O12" s="194">
        <v>1515</v>
      </c>
      <c r="P12" s="196">
        <v>892</v>
      </c>
      <c r="Q12" s="196">
        <v>617</v>
      </c>
      <c r="R12" s="196">
        <v>7361</v>
      </c>
      <c r="S12" s="196">
        <v>4293</v>
      </c>
      <c r="T12" s="196">
        <v>3967</v>
      </c>
      <c r="U12" s="196">
        <v>4112</v>
      </c>
      <c r="V12" s="196">
        <v>4128</v>
      </c>
      <c r="W12" s="196">
        <v>790</v>
      </c>
      <c r="X12" s="202">
        <v>1613</v>
      </c>
      <c r="Y12" s="204">
        <v>109</v>
      </c>
      <c r="Z12" s="194">
        <v>217</v>
      </c>
      <c r="AA12" s="194">
        <v>177</v>
      </c>
      <c r="AB12" s="194">
        <v>151</v>
      </c>
      <c r="AC12" s="196">
        <v>0</v>
      </c>
      <c r="AD12" s="196">
        <v>0</v>
      </c>
      <c r="AE12" s="196">
        <v>0</v>
      </c>
      <c r="AF12" s="202">
        <v>0</v>
      </c>
      <c r="AG12" s="215">
        <v>116</v>
      </c>
      <c r="AH12" s="196">
        <v>228</v>
      </c>
      <c r="AI12" s="196">
        <v>208</v>
      </c>
      <c r="AJ12" s="216">
        <v>109</v>
      </c>
      <c r="AK12" s="195">
        <v>0</v>
      </c>
      <c r="AL12" s="196">
        <v>0</v>
      </c>
      <c r="AM12" s="196">
        <v>0</v>
      </c>
      <c r="AN12" s="202">
        <v>0</v>
      </c>
      <c r="AO12" s="283">
        <v>5</v>
      </c>
      <c r="AP12" s="168">
        <v>5</v>
      </c>
      <c r="AQ12" s="168">
        <v>5</v>
      </c>
      <c r="AR12" s="167">
        <v>5</v>
      </c>
      <c r="AS12" s="381" t="s">
        <v>1075</v>
      </c>
      <c r="AT12" s="216"/>
      <c r="AU12" s="215"/>
      <c r="AV12" s="216"/>
      <c r="AW12" s="215"/>
      <c r="AX12" s="216"/>
      <c r="AY12" s="136">
        <f t="shared" si="1"/>
        <v>4409</v>
      </c>
      <c r="AZ12" s="137">
        <f t="shared" si="1"/>
        <v>4195</v>
      </c>
      <c r="BA12" s="137">
        <f t="shared" si="1"/>
        <v>4320</v>
      </c>
      <c r="BB12" s="137">
        <f t="shared" si="1"/>
        <v>4237</v>
      </c>
      <c r="BC12" s="135">
        <f>IF(ISNUMBER(X12),X12," - ")</f>
        <v>1613</v>
      </c>
      <c r="BD12" s="136">
        <f t="shared" si="2"/>
        <v>1.029797377830751</v>
      </c>
      <c r="BE12" s="137">
        <f t="shared" si="3"/>
        <v>0.98078703703703707</v>
      </c>
      <c r="BF12" s="137">
        <f t="shared" si="4"/>
        <v>0.37337962962962962</v>
      </c>
      <c r="BG12" s="209">
        <f t="shared" si="5"/>
        <v>1.9916666666666667</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4218</v>
      </c>
      <c r="J14" s="197">
        <f t="shared" si="7"/>
        <v>4702</v>
      </c>
      <c r="K14" s="197">
        <f t="shared" si="7"/>
        <v>3716</v>
      </c>
      <c r="L14" s="197">
        <f t="shared" si="7"/>
        <v>5292</v>
      </c>
      <c r="M14" s="197">
        <f t="shared" si="7"/>
        <v>1019</v>
      </c>
      <c r="N14" s="197">
        <f t="shared" si="7"/>
        <v>1517</v>
      </c>
      <c r="O14" s="197">
        <f t="shared" si="7"/>
        <v>1533</v>
      </c>
      <c r="P14" s="197">
        <f t="shared" si="7"/>
        <v>896</v>
      </c>
      <c r="Q14" s="197">
        <f t="shared" si="7"/>
        <v>621</v>
      </c>
      <c r="R14" s="197">
        <f t="shared" si="7"/>
        <v>7438</v>
      </c>
      <c r="S14" s="197">
        <f t="shared" si="7"/>
        <v>4377</v>
      </c>
      <c r="T14" s="197">
        <f t="shared" si="7"/>
        <v>4046</v>
      </c>
      <c r="U14" s="197">
        <f t="shared" si="7"/>
        <v>4185</v>
      </c>
      <c r="V14" s="197">
        <f t="shared" si="7"/>
        <v>4218</v>
      </c>
      <c r="W14" s="197">
        <f t="shared" si="7"/>
        <v>819</v>
      </c>
      <c r="X14" s="197">
        <f t="shared" si="7"/>
        <v>1641</v>
      </c>
      <c r="Y14" s="197">
        <f t="shared" si="7"/>
        <v>109</v>
      </c>
      <c r="Z14" s="197">
        <f t="shared" si="7"/>
        <v>217</v>
      </c>
      <c r="AA14" s="197">
        <f t="shared" si="7"/>
        <v>177</v>
      </c>
      <c r="AB14" s="197">
        <f t="shared" si="7"/>
        <v>151</v>
      </c>
      <c r="AC14" s="197">
        <f t="shared" si="7"/>
        <v>0</v>
      </c>
      <c r="AD14" s="197">
        <f t="shared" si="7"/>
        <v>0</v>
      </c>
      <c r="AE14" s="197">
        <f t="shared" si="7"/>
        <v>0</v>
      </c>
      <c r="AF14" s="197">
        <f>SUBTOTAL(9,AF9:AF13)</f>
        <v>0</v>
      </c>
      <c r="AG14" s="197">
        <f t="shared" ref="AG14:AT14" si="8">SUBTOTAL(9,AG8:AG13)</f>
        <v>116</v>
      </c>
      <c r="AH14" s="197">
        <f t="shared" si="8"/>
        <v>228</v>
      </c>
      <c r="AI14" s="197">
        <f t="shared" si="8"/>
        <v>208</v>
      </c>
      <c r="AJ14" s="197">
        <f t="shared" si="8"/>
        <v>109</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4493</v>
      </c>
      <c r="AZ14" s="197">
        <f>SUBTOTAL(9,AZ8:AZ13)</f>
        <v>4274</v>
      </c>
      <c r="BA14" s="197">
        <f>SUBTOTAL(9,BA8:BA13)</f>
        <v>4393</v>
      </c>
      <c r="BB14" s="197">
        <f>SUBTOTAL(9,BB8:BB13)</f>
        <v>4327</v>
      </c>
      <c r="BC14" s="197">
        <f>SUBTOTAL(9,BC8:BC13)</f>
        <v>1642</v>
      </c>
      <c r="BD14" s="219">
        <f>IF(ISNUMBER(BA14/AZ14),BA14/AZ14," - ")</f>
        <v>1.0278427702386523</v>
      </c>
      <c r="BE14" s="220">
        <f>IF(ISNUMBER(BB14/BA14),BB14/BA14, " - ")</f>
        <v>0.98497609833826538</v>
      </c>
      <c r="BF14" s="220">
        <f>IF(ISNUMBER(BC14/BA14),BC14/BA14, " - ")</f>
        <v>0.37377646255406327</v>
      </c>
      <c r="BG14" s="221">
        <f>IF(ISNUMBER((AY14+AZ14)/BA14),(AY14+AZ14)/BA14," - ")</f>
        <v>1.9956749374004097</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3232</v>
      </c>
      <c r="J17" s="196">
        <v>4658</v>
      </c>
      <c r="K17" s="196">
        <v>4558</v>
      </c>
      <c r="L17" s="196">
        <v>3620</v>
      </c>
      <c r="M17" s="196">
        <v>425</v>
      </c>
      <c r="N17" s="196">
        <v>3042</v>
      </c>
      <c r="O17" s="194">
        <v>27</v>
      </c>
      <c r="P17" s="196">
        <v>92</v>
      </c>
      <c r="Q17" s="196">
        <v>71</v>
      </c>
      <c r="R17" s="196">
        <v>196</v>
      </c>
      <c r="S17" s="196">
        <v>3573</v>
      </c>
      <c r="T17" s="196">
        <v>4251</v>
      </c>
      <c r="U17" s="196">
        <v>3913</v>
      </c>
      <c r="V17" s="196">
        <v>3232</v>
      </c>
      <c r="W17" s="196">
        <v>514</v>
      </c>
      <c r="X17" s="202">
        <v>2347</v>
      </c>
      <c r="Y17" s="215">
        <v>0</v>
      </c>
      <c r="Z17" s="196">
        <v>0</v>
      </c>
      <c r="AA17" s="196">
        <v>0</v>
      </c>
      <c r="AB17" s="196">
        <v>0</v>
      </c>
      <c r="AC17" s="196">
        <v>9</v>
      </c>
      <c r="AD17" s="196">
        <v>47</v>
      </c>
      <c r="AE17" s="196">
        <v>47</v>
      </c>
      <c r="AF17" s="202">
        <v>9</v>
      </c>
      <c r="AG17" s="215">
        <v>0</v>
      </c>
      <c r="AH17" s="196">
        <v>0</v>
      </c>
      <c r="AI17" s="196">
        <v>0</v>
      </c>
      <c r="AJ17" s="216">
        <v>0</v>
      </c>
      <c r="AK17" s="195">
        <v>44</v>
      </c>
      <c r="AL17" s="196">
        <v>113</v>
      </c>
      <c r="AM17" s="196">
        <v>117</v>
      </c>
      <c r="AN17" s="202">
        <v>9</v>
      </c>
      <c r="AO17" s="283">
        <v>5</v>
      </c>
      <c r="AP17" s="168">
        <v>5</v>
      </c>
      <c r="AQ17" s="168">
        <v>5</v>
      </c>
      <c r="AR17" s="168">
        <v>5</v>
      </c>
      <c r="AS17" s="381" t="s">
        <v>650</v>
      </c>
      <c r="AT17" s="216"/>
      <c r="AU17" s="215"/>
      <c r="AV17" s="216"/>
      <c r="AW17" s="215"/>
      <c r="AX17" s="216"/>
      <c r="AY17" s="136">
        <f t="shared" si="10"/>
        <v>3573</v>
      </c>
      <c r="AZ17" s="137">
        <f t="shared" si="10"/>
        <v>4251</v>
      </c>
      <c r="BA17" s="137">
        <f t="shared" si="10"/>
        <v>3913</v>
      </c>
      <c r="BB17" s="137">
        <f t="shared" si="10"/>
        <v>3232</v>
      </c>
      <c r="BC17" s="135">
        <f>IF(ISNUMBER(W17),W17," - ")</f>
        <v>514</v>
      </c>
      <c r="BD17" s="136">
        <f t="shared" ref="BD17:BD22" si="12">IF(ISNUMBER(BA17/AZ17),BA17/AZ17," - ")</f>
        <v>0.92048929663608559</v>
      </c>
      <c r="BE17" s="137">
        <f t="shared" ref="BE17:BE22" si="13">IF(ISNUMBER(BB17/BA17),BB17/BA17, " - ")</f>
        <v>0.8259647329414771</v>
      </c>
      <c r="BF17" s="137">
        <f t="shared" ref="BF17:BF22" si="14">IF(ISNUMBER(BC17/BA17),BC17/BA17, " - ")</f>
        <v>0.13135701507794531</v>
      </c>
      <c r="BG17" s="209">
        <f t="shared" si="11"/>
        <v>1.9994888832098134</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455</v>
      </c>
      <c r="J18" s="196">
        <v>469</v>
      </c>
      <c r="K18" s="196">
        <v>445</v>
      </c>
      <c r="L18" s="196">
        <v>479</v>
      </c>
      <c r="M18" s="196">
        <v>16</v>
      </c>
      <c r="N18" s="196">
        <v>333</v>
      </c>
      <c r="O18" s="196">
        <v>0</v>
      </c>
      <c r="P18" s="196">
        <v>3</v>
      </c>
      <c r="Q18" s="196">
        <v>3</v>
      </c>
      <c r="R18" s="196">
        <v>9</v>
      </c>
      <c r="S18" s="196">
        <v>321</v>
      </c>
      <c r="T18" s="196">
        <v>451</v>
      </c>
      <c r="U18" s="196">
        <v>319</v>
      </c>
      <c r="V18" s="196">
        <v>455</v>
      </c>
      <c r="W18" s="196">
        <v>29</v>
      </c>
      <c r="X18" s="202">
        <v>152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321</v>
      </c>
      <c r="AZ18" s="139">
        <f t="shared" si="15"/>
        <v>451</v>
      </c>
      <c r="BA18" s="139">
        <f t="shared" si="15"/>
        <v>319</v>
      </c>
      <c r="BB18" s="139">
        <f t="shared" si="15"/>
        <v>455</v>
      </c>
      <c r="BC18" s="135">
        <f>IF(ISNUMBER(W18),W18," - ")</f>
        <v>29</v>
      </c>
      <c r="BD18" s="136">
        <f>IF(ISNUMBER(BA18/AZ18),BA18/AZ18," - ")</f>
        <v>0.70731707317073167</v>
      </c>
      <c r="BE18" s="137">
        <f>IF(ISNUMBER(BB18/BA18),BB18/BA18, " - ")</f>
        <v>1.4263322884012539</v>
      </c>
      <c r="BF18" s="137">
        <f>IF(ISNUMBER(BC18/BA18),BC18/BA18, " - ")</f>
        <v>9.0909090909090912E-2</v>
      </c>
      <c r="BG18" s="209">
        <f>IF(ISNUMBER((AY18+AZ18)/BA18),(AY18+AZ18)/BA18," - ")</f>
        <v>2.4200626959247651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3687</v>
      </c>
      <c r="J23" s="197">
        <f t="shared" si="21"/>
        <v>5127</v>
      </c>
      <c r="K23" s="197">
        <f t="shared" si="21"/>
        <v>5003</v>
      </c>
      <c r="L23" s="197">
        <f t="shared" si="21"/>
        <v>4099</v>
      </c>
      <c r="M23" s="197">
        <f t="shared" si="21"/>
        <v>441</v>
      </c>
      <c r="N23" s="197">
        <f t="shared" si="21"/>
        <v>3375</v>
      </c>
      <c r="O23" s="197">
        <f t="shared" si="21"/>
        <v>27</v>
      </c>
      <c r="P23" s="197">
        <f t="shared" si="21"/>
        <v>95</v>
      </c>
      <c r="Q23" s="197">
        <f t="shared" si="21"/>
        <v>74</v>
      </c>
      <c r="R23" s="197">
        <f t="shared" si="21"/>
        <v>205</v>
      </c>
      <c r="S23" s="197">
        <f t="shared" si="21"/>
        <v>3894</v>
      </c>
      <c r="T23" s="197">
        <f t="shared" si="21"/>
        <v>4702</v>
      </c>
      <c r="U23" s="197">
        <f t="shared" si="21"/>
        <v>4232</v>
      </c>
      <c r="V23" s="197">
        <f t="shared" si="21"/>
        <v>3687</v>
      </c>
      <c r="W23" s="197">
        <f t="shared" si="21"/>
        <v>543</v>
      </c>
      <c r="X23" s="197">
        <f t="shared" si="21"/>
        <v>2499</v>
      </c>
      <c r="Y23" s="197">
        <f t="shared" si="21"/>
        <v>0</v>
      </c>
      <c r="Z23" s="197">
        <f t="shared" si="21"/>
        <v>0</v>
      </c>
      <c r="AA23" s="197">
        <f t="shared" si="21"/>
        <v>0</v>
      </c>
      <c r="AB23" s="197">
        <f t="shared" si="21"/>
        <v>0</v>
      </c>
      <c r="AC23" s="197">
        <f t="shared" si="21"/>
        <v>9</v>
      </c>
      <c r="AD23" s="197">
        <f t="shared" si="21"/>
        <v>47</v>
      </c>
      <c r="AE23" s="197">
        <f t="shared" si="21"/>
        <v>47</v>
      </c>
      <c r="AF23" s="197">
        <f t="shared" si="21"/>
        <v>9</v>
      </c>
      <c r="AG23" s="197">
        <f t="shared" si="21"/>
        <v>0</v>
      </c>
      <c r="AH23" s="197">
        <f t="shared" si="21"/>
        <v>0</v>
      </c>
      <c r="AI23" s="197">
        <f t="shared" si="21"/>
        <v>0</v>
      </c>
      <c r="AJ23" s="197">
        <f t="shared" si="21"/>
        <v>0</v>
      </c>
      <c r="AK23" s="197">
        <f t="shared" si="21"/>
        <v>44</v>
      </c>
      <c r="AL23" s="197">
        <f t="shared" si="21"/>
        <v>113</v>
      </c>
      <c r="AM23" s="197">
        <f t="shared" si="21"/>
        <v>117</v>
      </c>
      <c r="AN23" s="197">
        <f t="shared" si="21"/>
        <v>9</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3894</v>
      </c>
      <c r="AZ23" s="197">
        <f>SUBTOTAL(9,AZ15:AZ22)</f>
        <v>4702</v>
      </c>
      <c r="BA23" s="197">
        <f>SUBTOTAL(9,BA15:BA22)</f>
        <v>4232</v>
      </c>
      <c r="BB23" s="197">
        <f>SUBTOTAL(9,BB15:BB22)</f>
        <v>3687</v>
      </c>
      <c r="BC23" s="197">
        <f>SUBTOTAL(9,BC15:BC22)</f>
        <v>543</v>
      </c>
      <c r="BD23" s="219">
        <f>IF(ISNUMBER(BA23/AZ23),BA23/AZ23," - ")</f>
        <v>0.90004253509145049</v>
      </c>
      <c r="BE23" s="220">
        <f>IF(ISNUMBER(BB23/BA23),BB23/BA23, " - ")</f>
        <v>0.87121928166351603</v>
      </c>
      <c r="BF23" s="220">
        <f>IF(ISNUMBER(BC23/BA23),BC23/BA23, " - ")</f>
        <v>0.12830812854442344</v>
      </c>
      <c r="BG23" s="221">
        <f>IF(ISNUMBER((AY23+AZ23)/BA23),(AY23+AZ23)/BA23," - ")</f>
        <v>2.0311909262759924</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7905</v>
      </c>
      <c r="J31" s="144">
        <f t="shared" si="36"/>
        <v>9829</v>
      </c>
      <c r="K31" s="144">
        <f t="shared" si="36"/>
        <v>8719</v>
      </c>
      <c r="L31" s="144">
        <f t="shared" si="36"/>
        <v>9391</v>
      </c>
      <c r="M31" s="144">
        <f t="shared" si="36"/>
        <v>1460</v>
      </c>
      <c r="N31" s="144">
        <f t="shared" si="36"/>
        <v>4892</v>
      </c>
      <c r="O31" s="144">
        <f t="shared" si="36"/>
        <v>1560</v>
      </c>
      <c r="P31" s="144">
        <f t="shared" si="36"/>
        <v>991</v>
      </c>
      <c r="Q31" s="144">
        <f t="shared" si="36"/>
        <v>695</v>
      </c>
      <c r="R31" s="144">
        <f t="shared" si="36"/>
        <v>7643</v>
      </c>
      <c r="S31" s="144">
        <f t="shared" si="36"/>
        <v>8271</v>
      </c>
      <c r="T31" s="144">
        <f t="shared" si="36"/>
        <v>8748</v>
      </c>
      <c r="U31" s="144">
        <f t="shared" si="36"/>
        <v>8417</v>
      </c>
      <c r="V31" s="144">
        <f t="shared" si="36"/>
        <v>7905</v>
      </c>
      <c r="W31" s="144">
        <f t="shared" si="36"/>
        <v>1362</v>
      </c>
      <c r="X31" s="144">
        <f t="shared" si="36"/>
        <v>4140</v>
      </c>
      <c r="Y31" s="144">
        <f t="shared" si="36"/>
        <v>109</v>
      </c>
      <c r="Z31" s="144">
        <f t="shared" si="36"/>
        <v>217</v>
      </c>
      <c r="AA31" s="144">
        <f t="shared" si="36"/>
        <v>177</v>
      </c>
      <c r="AB31" s="144">
        <f t="shared" si="36"/>
        <v>151</v>
      </c>
      <c r="AC31" s="144">
        <f t="shared" si="36"/>
        <v>9</v>
      </c>
      <c r="AD31" s="144">
        <f t="shared" si="36"/>
        <v>47</v>
      </c>
      <c r="AE31" s="144">
        <f t="shared" si="36"/>
        <v>47</v>
      </c>
      <c r="AF31" s="144">
        <f t="shared" si="36"/>
        <v>9</v>
      </c>
      <c r="AG31" s="144">
        <f t="shared" si="36"/>
        <v>116</v>
      </c>
      <c r="AH31" s="144">
        <f t="shared" si="36"/>
        <v>228</v>
      </c>
      <c r="AI31" s="144">
        <f t="shared" si="36"/>
        <v>208</v>
      </c>
      <c r="AJ31" s="144">
        <f t="shared" si="36"/>
        <v>109</v>
      </c>
      <c r="AK31" s="144">
        <f t="shared" si="36"/>
        <v>44</v>
      </c>
      <c r="AL31" s="144">
        <f t="shared" si="36"/>
        <v>113</v>
      </c>
      <c r="AM31" s="144">
        <f t="shared" si="36"/>
        <v>117</v>
      </c>
      <c r="AN31" s="224">
        <f t="shared" si="36"/>
        <v>9</v>
      </c>
      <c r="AO31" s="225">
        <v>6</v>
      </c>
      <c r="AP31" s="225">
        <v>5</v>
      </c>
      <c r="AQ31" s="225">
        <v>5</v>
      </c>
      <c r="AR31" s="225">
        <v>5</v>
      </c>
      <c r="AS31" s="166">
        <f t="shared" si="36"/>
        <v>0</v>
      </c>
      <c r="AT31" s="166">
        <f t="shared" si="36"/>
        <v>0</v>
      </c>
      <c r="AU31" s="225"/>
      <c r="AV31" s="226"/>
      <c r="AW31" s="225"/>
      <c r="AX31" s="226"/>
      <c r="AY31" s="143">
        <f>SUBTOTAL(9,AY9:AY30)</f>
        <v>8387</v>
      </c>
      <c r="AZ31" s="144">
        <f>SUBTOTAL(9,AZ9:AZ30)</f>
        <v>8976</v>
      </c>
      <c r="BA31" s="144">
        <f>SUBTOTAL(9,BA9:BA30)</f>
        <v>8625</v>
      </c>
      <c r="BB31" s="144">
        <f>SUBTOTAL(9,BB9:BB30)</f>
        <v>8014</v>
      </c>
      <c r="BC31" s="145">
        <f>SUBTOTAL(9,BC9:BC30)</f>
        <v>2185</v>
      </c>
      <c r="BD31" s="227">
        <f>IF(ISNUMBER(BA31/AZ31),BA31/AZ31," - ")</f>
        <v>0.96089572192513373</v>
      </c>
      <c r="BE31" s="224">
        <f>IF(ISNUMBER(BB31/BA31),BB31/BA31, " - ")</f>
        <v>0.9291594202898551</v>
      </c>
      <c r="BF31" s="224">
        <f>IF(ISNUMBER(BC31/BA31),BC31/BA31, " - ")</f>
        <v>0.25333333333333335</v>
      </c>
      <c r="BG31" s="145">
        <f>IF(ISNUMBER((AY31+AZ31)/BA31),(AY31+AZ31)/BA31," - ")</f>
        <v>2.0131014492753625</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HjHBRfHtvIKmYmEO822WPwITFi287snd2xTmLvk4D848heSstGeSdrQHtPrS2YLE8JFBBhZK3cIl1bDDIXWDQ==" saltValue="5qclUs23U4H7vLkuVsyhg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HMYPuRw07W2XCy0d7SEn8Rz6YXajmInOHStC5fiUQIxBRndkfAdf5hDfCORjXKxBrrtyA1VQ6/Ek06T0rw+Q==" saltValue="Xel1nv0qeVV9nI4sh8pqy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VILAFRANCA DEL PENEDES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78</v>
      </c>
      <c r="G10" s="543">
        <f>IF(ISNUMBER(Datos!I10),Datos!I10," - ")</f>
        <v>90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50</v>
      </c>
      <c r="AC10" s="547">
        <f>IF(ISNUMBER(Datos!Q10),Datos!Q10," - ")</f>
        <v>4</v>
      </c>
      <c r="AD10" s="549"/>
      <c r="AE10" s="563"/>
      <c r="AF10" s="551">
        <f>IF(ISNUMBER(Datos!L10),Datos!L10,"-")</f>
        <v>105</v>
      </c>
      <c r="AG10" s="549"/>
      <c r="AH10" s="549"/>
      <c r="AI10" s="549"/>
      <c r="AJ10" s="549"/>
      <c r="AK10" s="549"/>
      <c r="AL10" s="550"/>
      <c r="AM10" s="766">
        <f>IF(ISNUMBER(Datos!R10),Datos!R10," - ")</f>
        <v>77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20</v>
      </c>
      <c r="BD10" s="693">
        <f>IF(ISNUMBER(Datos!N10),Datos!N10," - ")</f>
        <v>9</v>
      </c>
      <c r="BE10" s="693" t="str">
        <f>IF(ISNUMBER(Datos!BW10),Datos!BW10," - ")</f>
        <v xml:space="preserve"> - </v>
      </c>
      <c r="BF10" s="762" t="str">
        <f>IF(ISNUMBER(Datos!BX10),Datos!BX10," - ")</f>
        <v xml:space="preserve"> - </v>
      </c>
      <c r="BG10" s="763">
        <f>IF(ISNUMBER(Datos!K10/Datos!J10),Datos!K10/Datos!J10," - ")</f>
        <v>0.64935064935064934</v>
      </c>
      <c r="BH10" s="764">
        <f>IF(ISNUMBER(((Datos!L10/Datos!K10)*11)/factor_trimestre),((Datos!L10/Datos!K10)*11)/factor_trimestre," - ")</f>
        <v>23.1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217</v>
      </c>
      <c r="O12" s="549"/>
      <c r="P12" s="549"/>
      <c r="Q12" s="547">
        <f>IF(ISNUMBER(Datos!P12),Datos!P12,0)</f>
        <v>892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151</v>
      </c>
      <c r="AI12" s="549" t="str">
        <f>IF(ISNUMBER(Datos!CD12),Datos!CD12,"-")</f>
        <v>-</v>
      </c>
      <c r="AJ12" s="549" t="str">
        <f>IF(ISNUMBER(Datos!EN12),Datos!EN12," - ")</f>
        <v xml:space="preserve"> - </v>
      </c>
      <c r="AK12" s="549"/>
      <c r="AL12" s="550"/>
      <c r="AM12" s="766">
        <f>IF(ISNUMBER(Datos!R12),Datos!R12," - ")</f>
        <v>7361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999</v>
      </c>
      <c r="BD12" s="693">
        <f>IF(ISNUMBER(Datos!N12),Datos!N12," - ")</f>
        <v>1508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0.79368029739776946</v>
      </c>
      <c r="BH12" s="764">
        <f>IF(ISNUMBER(((IF(J_V="SI",Datos!L12/Datos!K12,(Datos!L12+Datos!AB12)/(Datos!K12+Datos!AA12)))*11)/factor_trimestre),((IF(J_V="SI",Datos!L12/Datos!K12,(Datos!L12+Datos!AB12)/(Datos!K12+Datos!AA12)))*11)/factor_trimestre," - ")</f>
        <v>15.279208951340099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3.8808918995201808E-2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5</v>
      </c>
      <c r="F14" s="1197">
        <f t="shared" si="1"/>
        <v>78</v>
      </c>
      <c r="G14" s="1197">
        <f t="shared" si="1"/>
        <v>90</v>
      </c>
      <c r="H14" s="1198">
        <f t="shared" si="1"/>
        <v>0</v>
      </c>
      <c r="I14" s="1197">
        <f t="shared" si="1"/>
        <v>0</v>
      </c>
      <c r="J14" s="1164">
        <f t="shared" si="1"/>
        <v>0</v>
      </c>
      <c r="K14" s="1164">
        <f t="shared" si="1"/>
        <v>0</v>
      </c>
      <c r="L14" s="1198">
        <f t="shared" si="1"/>
        <v>0</v>
      </c>
      <c r="M14" s="1198">
        <f t="shared" si="1"/>
        <v>0</v>
      </c>
      <c r="N14" s="1198">
        <f t="shared" si="1"/>
        <v>217</v>
      </c>
      <c r="O14" s="1199">
        <f t="shared" si="1"/>
        <v>0</v>
      </c>
      <c r="P14" s="1199">
        <f t="shared" si="1"/>
        <v>0</v>
      </c>
      <c r="Q14" s="1198">
        <f t="shared" si="1"/>
        <v>896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50</v>
      </c>
      <c r="AC14" s="1198">
        <f t="shared" si="2"/>
        <v>621</v>
      </c>
      <c r="AD14" s="1198">
        <f t="shared" si="2"/>
        <v>0</v>
      </c>
      <c r="AE14" s="1198">
        <f t="shared" si="2"/>
        <v>0</v>
      </c>
      <c r="AF14" s="1198">
        <f t="shared" si="2"/>
        <v>105</v>
      </c>
      <c r="AG14" s="1198">
        <f t="shared" si="2"/>
        <v>0</v>
      </c>
      <c r="AH14" s="1198">
        <f t="shared" si="2"/>
        <v>151</v>
      </c>
      <c r="AI14" s="1198">
        <f t="shared" si="2"/>
        <v>0</v>
      </c>
      <c r="AJ14" s="1198">
        <f t="shared" si="2"/>
        <v>0</v>
      </c>
      <c r="AK14" s="1198">
        <f t="shared" si="2"/>
        <v>0</v>
      </c>
      <c r="AL14" s="1198">
        <f t="shared" si="2"/>
        <v>0</v>
      </c>
      <c r="AM14" s="1198">
        <f t="shared" si="2"/>
        <v>7438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1019</v>
      </c>
      <c r="BD14" s="1198">
        <f t="shared" si="2"/>
        <v>1517</v>
      </c>
      <c r="BE14" s="1198">
        <f t="shared" si="2"/>
        <v>0</v>
      </c>
      <c r="BF14" s="1198">
        <f t="shared" si="2"/>
        <v>0</v>
      </c>
      <c r="BG14" s="1198">
        <f>IF(ISNUMBER(Datos!K14/Datos!J14),Datos!K14/Datos!J14," - ")</f>
        <v>0.79030199914929822</v>
      </c>
      <c r="BH14" s="1202">
        <f>IF(ISNUMBER(((Datos!L14/Datos!K14)*11)/factor_trimestre),((Datos!L14/Datos!K14)*11)/factor_trimestre," - ")</f>
        <v>15.665231431646932</v>
      </c>
      <c r="BI14" s="1198">
        <f>IF(ISNUMBER('Resol  Asuntos'!D14/NºAsuntos!G14),'Resol  Asuntos'!D14/NºAsuntos!G14," - ")</f>
        <v>0.26175186231697917</v>
      </c>
      <c r="BJ14" s="1198" t="str">
        <f>IF(ISNUMBER(Datos!CI14/Datos!CJ14),Datos!CI14/Datos!CJ14," - ")</f>
        <v xml:space="preserve"> - </v>
      </c>
      <c r="BK14" s="1198">
        <f>SUBTOTAL(9,BK8:BK13)</f>
        <v>0</v>
      </c>
      <c r="BL14" s="1198">
        <f>IF(ISNUMBER((I14-AB14+L14)/(F14)),(I14-AB14+L14)/(F14)," - ")</f>
        <v>-0.64102564102564108</v>
      </c>
      <c r="BM14" s="1203">
        <f>SUBTOTAL(9,BM9:BM13)</f>
        <v>3.8808918995201808E-2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3520</v>
      </c>
      <c r="G17" s="743">
        <f>IF(ISNUMBER(IF(D_I="SI",Datos!I17,Datos!I17+Datos!AC17)),IF(D_I="SI",Datos!I17,Datos!I17+Datos!AC17)," - ")</f>
        <v>3232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4558</v>
      </c>
      <c r="AC17" s="240">
        <f>IF(ISNUMBER(Datos!Q17),Datos!Q17," - ")</f>
        <v>71</v>
      </c>
      <c r="AD17" s="374"/>
      <c r="AE17" s="562"/>
      <c r="AF17" s="741">
        <f>IF(ISNUMBER(IF(D_I="SI",Datos!L17,Datos!L17+Datos!AF17)),IF(D_I="SI",Datos!L17,Datos!L17+Datos!AF17)," - ")</f>
        <v>3620</v>
      </c>
      <c r="AG17" s="374"/>
      <c r="AH17" s="374"/>
      <c r="AI17" s="374"/>
      <c r="AJ17" s="549"/>
      <c r="AK17" s="374"/>
      <c r="AL17" s="545"/>
      <c r="AM17" s="375">
        <f>IF(ISNUMBER(Datos!R17),Datos!R17," - ")</f>
        <v>196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425</v>
      </c>
      <c r="BD17" s="243">
        <f>IF(ISNUMBER(Datos!N17),Datos!N17," - ")</f>
        <v>3042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0.978531558608845</v>
      </c>
      <c r="BH17" s="764">
        <f>IF(ISNUMBER(((IF(D_I="SI",Datos!L17/Datos!K17,(Datos!L17+Datos!AF17)/(Datos!K17+Datos!AE17)))*11)/factor_trimestre),((IF(D_I="SI",Datos!L17/Datos!K17,(Datos!L17+Datos!AF17)/(Datos!K17+Datos!AE17)))*11)/factor_trimestre," - ")</f>
        <v>8.7362878455462933</v>
      </c>
      <c r="BI17" s="266">
        <f>IF(ISNUMBER('Resol  Asuntos'!D17/NºAsuntos!G17),'Resol  Asuntos'!D17/NºAsuntos!G17," - ")</f>
        <v>9.3242650285212808E-2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445</v>
      </c>
      <c r="AC18" s="547">
        <f>IF(ISNUMBER(Datos!Q18),Datos!Q18," - ")</f>
        <v>3</v>
      </c>
      <c r="AD18" s="549"/>
      <c r="AE18" s="562"/>
      <c r="AF18" s="551">
        <f>IF(ISNUMBER(Datos!L18),Datos!L18,"-")</f>
        <v>479</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333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0.94882729211087424</v>
      </c>
      <c r="BH18" s="764">
        <f>IF(ISNUMBER(((IF(D_I="SI",Datos!L18/Datos!K18,(Datos!L18+Datos!AF18)/(Datos!K18+Datos!AE18)))*11)/factor_trimestre),((IF(D_I="SI",Datos!L18/Datos!K18,(Datos!L18+Datos!AF18)/(Datos!K18+Datos!AE18)))*11)/factor_trimestre," - ")</f>
        <v>11.840449438202249</v>
      </c>
      <c r="BI18" s="763">
        <f>IF(ISNUMBER('Resol  Asuntos'!D18/NºAsuntos!G18),'Resol  Asuntos'!D18/NºAsuntos!G18," - ")</f>
        <v>3.5955056179775284E-2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3520</v>
      </c>
      <c r="G23" s="1197">
        <f>SUBTOTAL(9,G16:G22)</f>
        <v>3687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5003</v>
      </c>
      <c r="AC23" s="1198">
        <f t="shared" si="5"/>
        <v>74</v>
      </c>
      <c r="AD23" s="1198">
        <f t="shared" si="5"/>
        <v>0</v>
      </c>
      <c r="AE23" s="1198">
        <f t="shared" si="5"/>
        <v>0</v>
      </c>
      <c r="AF23" s="1198">
        <f t="shared" si="5"/>
        <v>4099</v>
      </c>
      <c r="AG23" s="1198">
        <f t="shared" si="5"/>
        <v>0</v>
      </c>
      <c r="AH23" s="1198">
        <f t="shared" si="5"/>
        <v>0</v>
      </c>
      <c r="AI23" s="1198">
        <f t="shared" si="5"/>
        <v>0</v>
      </c>
      <c r="AJ23" s="1198">
        <f t="shared" si="5"/>
        <v>0</v>
      </c>
      <c r="AK23" s="1198">
        <f t="shared" si="5"/>
        <v>0</v>
      </c>
      <c r="AL23" s="1198">
        <f t="shared" si="5"/>
        <v>0</v>
      </c>
      <c r="AM23" s="1198">
        <f t="shared" si="5"/>
        <v>205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441</v>
      </c>
      <c r="BD23" s="1198">
        <f t="shared" si="5"/>
        <v>3375</v>
      </c>
      <c r="BE23" s="1198">
        <f t="shared" si="5"/>
        <v>0</v>
      </c>
      <c r="BF23" s="1198">
        <f t="shared" si="5"/>
        <v>0</v>
      </c>
      <c r="BG23" s="1198">
        <f>IF(ISNUMBER(Datos!K23/Datos!J23),Datos!K23/Datos!J23," - ")</f>
        <v>0.97581431636434557</v>
      </c>
      <c r="BH23" s="1202">
        <f>IF(ISNUMBER(((Datos!L23/Datos!K23)*11)/factor_trimestre),((Datos!L23/Datos!K23)*11)/factor_trimestre," - ")</f>
        <v>9.0123925644613223</v>
      </c>
      <c r="BI23" s="1198">
        <f>SUBTOTAL(9,BI16:BI22)</f>
        <v>0.1291977064649881</v>
      </c>
      <c r="BJ23" s="1198">
        <f>SUBTOTAL(9,BJ16:BJ22)</f>
        <v>0</v>
      </c>
      <c r="BK23" s="1198">
        <f>SUBTOTAL(9,BK16:BK22)</f>
        <v>0</v>
      </c>
      <c r="BL23" s="1198">
        <f>IF(ISNUMBER((I23-AB23+L23)/(F23)),(I23-AB23+L23)/(F23)," - ")</f>
        <v>-1.4213068181818183</v>
      </c>
      <c r="BM23" s="1205">
        <f>IF(ISNUMBER((Datos!P23-Datos!Q23)/(Datos!R23-Datos!P23+Datos!Q23)),(Datos!P23-Datos!Q23)/(Datos!R23-Datos!P23+Datos!Q23)," - ")</f>
        <v>0.11413043478260869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10</v>
      </c>
      <c r="F31" s="1117">
        <f t="shared" si="18"/>
        <v>3598</v>
      </c>
      <c r="G31" s="1117">
        <f t="shared" si="18"/>
        <v>3777</v>
      </c>
      <c r="H31" s="1119">
        <f t="shared" si="18"/>
        <v>0</v>
      </c>
      <c r="I31" s="1117">
        <f t="shared" si="18"/>
        <v>0</v>
      </c>
      <c r="J31" s="1119">
        <f t="shared" si="18"/>
        <v>0</v>
      </c>
      <c r="K31" s="1119">
        <f t="shared" si="18"/>
        <v>0</v>
      </c>
      <c r="L31" s="1180">
        <f t="shared" si="18"/>
        <v>0</v>
      </c>
      <c r="M31" s="1180">
        <f t="shared" si="18"/>
        <v>0</v>
      </c>
      <c r="N31" s="1180">
        <f t="shared" si="18"/>
        <v>217</v>
      </c>
      <c r="O31" s="1180">
        <f t="shared" si="18"/>
        <v>0</v>
      </c>
      <c r="P31" s="1180">
        <f t="shared" si="18"/>
        <v>0</v>
      </c>
      <c r="Q31" s="1119">
        <f t="shared" si="18"/>
        <v>991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5053</v>
      </c>
      <c r="AC31" s="1118">
        <f t="shared" si="19"/>
        <v>695</v>
      </c>
      <c r="AD31" s="1118">
        <f t="shared" si="19"/>
        <v>0</v>
      </c>
      <c r="AE31" s="1118">
        <f t="shared" si="19"/>
        <v>0</v>
      </c>
      <c r="AF31" s="1125">
        <f t="shared" si="19"/>
        <v>4204</v>
      </c>
      <c r="AG31" s="1125">
        <f t="shared" si="19"/>
        <v>0</v>
      </c>
      <c r="AH31" s="1125">
        <f t="shared" si="19"/>
        <v>151</v>
      </c>
      <c r="AI31" s="1125">
        <f t="shared" si="19"/>
        <v>0</v>
      </c>
      <c r="AJ31" s="1118">
        <f t="shared" si="19"/>
        <v>0</v>
      </c>
      <c r="AK31" s="1125">
        <f t="shared" si="19"/>
        <v>0</v>
      </c>
      <c r="AL31" s="1125">
        <f t="shared" si="19"/>
        <v>0</v>
      </c>
      <c r="AM31" s="1125">
        <f t="shared" si="19"/>
        <v>7643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1460</v>
      </c>
      <c r="BD31" s="1117">
        <f t="shared" si="19"/>
        <v>4892</v>
      </c>
      <c r="BE31" s="1117">
        <f t="shared" si="19"/>
        <v>0</v>
      </c>
      <c r="BF31" s="1127">
        <f t="shared" si="19"/>
        <v>0</v>
      </c>
      <c r="BG31" s="1223">
        <f>IF(ISNUMBER(Datos!K31/Datos!J31),Datos!K31/Datos!J31," - ")</f>
        <v>0.88706887781056054</v>
      </c>
      <c r="BH31" s="1223">
        <f>IF(ISNUMBER(((Datos!L31/Datos!K31)*11)/factor_trimestre),((Datos!L31/Datos!K31)*11)/factor_trimestre," - ")</f>
        <v>11.847803647207249</v>
      </c>
      <c r="BI31" s="1103">
        <f>IF(ISNUMBER(Datos!J31/Datos!I31),Datos!J31/Datos!I31," - ")</f>
        <v>1.2433902593295383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-1.404391328515842</v>
      </c>
      <c r="BM31" s="1188">
        <f>IF(ISNUMBER((Datos!P31-Datos!Q31+R31)/(Datos!R31-Datos!P31+Datos!Q31-R31)),(Datos!P31-Datos!Q31+R31)/(Datos!R31-Datos!P31+Datos!Q31-R31)," - ")</f>
        <v>4.0288553150945962E-2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1079.1428571428571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1797.9190934707453</v>
      </c>
      <c r="G33" s="674">
        <f>IF(ISNUMBER(STDEV(G8:G30)),STDEV(G8:G30),"-")</f>
        <v>1638.6566071604129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2288.3116566794911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438.55672381118501</v>
      </c>
      <c r="BD33" s="673"/>
      <c r="BE33" s="673">
        <f>IF(ISNUMBER(STDEV(BE8:BE30)),STDEV(BE8:BE30),"-")</f>
        <v>0</v>
      </c>
      <c r="BF33" s="678">
        <f>IF(ISNUMBER(STDEV(BF8:BF30)),STDEV(BF8:BF30),"-")</f>
        <v>0</v>
      </c>
      <c r="BG33" s="1052">
        <f>IF(ISNUMBER(STDEV(BG8:BG30)),STDEV(BG8:BG30),"-")</f>
        <v>0.13333434928921148</v>
      </c>
      <c r="BH33" s="1058">
        <f>IF(ISNUMBER(STDEV(BH8:BH30)),STDEV(BH8:BH30),"-")</f>
        <v>5.374821764570453</v>
      </c>
      <c r="BI33" s="273">
        <f>IF(ISNUMBER(STDEV(BI8:BI30)),STDEV(BI8:BI30),"-")</f>
        <v>9.583796341153708E-2</v>
      </c>
      <c r="BJ33" s="244" t="str">
        <f>IF(ISNUMBER(BL33/BM33),BL33/BM33," - ")</f>
        <v xml:space="preserve"> - </v>
      </c>
      <c r="BK33" s="709"/>
      <c r="BL33" s="681">
        <f>IF(ISNUMBER(STDEV(BL8:BL30)),STDEV(BL8:BL30),"-")</f>
        <v>0.55174211159935516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x20cin2FTveU41AJ+lLzV3Gy4xObfqhbnTjJb2+tt8qDUffeKKq253WL9NyfsFW/1yRjKBqWWiN3FeZS7bd+Vw==" saltValue="h8jOMyxdYen/dIbOM6so/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VILAFRANCA DEL PENEDES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78</v>
      </c>
      <c r="G10" s="552">
        <f>IF(ISNUMBER(Datos!I10),Datos!I10," - ")</f>
        <v>90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50</v>
      </c>
      <c r="Z10" s="805">
        <f>IF(ISNUMBER(Datos!Q10),Datos!Q10," - ")</f>
        <v>4</v>
      </c>
      <c r="AA10" s="551">
        <f>IF(ISNUMBER(Datos!L10),Datos!L10,"-")</f>
        <v>105</v>
      </c>
      <c r="AB10" s="549"/>
      <c r="AC10" s="549"/>
      <c r="AD10" s="563"/>
      <c r="AE10" s="563">
        <f>IF(ISNUMBER(Datos!R10),Datos!R10," - ")</f>
        <v>77</v>
      </c>
      <c r="AF10" s="693" t="str">
        <f>IF(ISNUMBER(Datos!BV10),Datos!BV10," - ")</f>
        <v xml:space="preserve"> - </v>
      </c>
      <c r="AG10" s="552" t="str">
        <f>IF(ISNUMBER(Datos!DV10),Datos!DV10," - ")</f>
        <v xml:space="preserve"> - </v>
      </c>
      <c r="AH10" s="553"/>
      <c r="AI10" s="554"/>
      <c r="AJ10" s="552">
        <f>IF(ISNUMBER(Datos!M10),Datos!M10," - ")</f>
        <v>20</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23.1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892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617</v>
      </c>
      <c r="AA12" s="551" t="str">
        <f>IF(ISNUMBER(IF(J_V="SI",Datos!L12,Datos!L12+Datos!AB12)-IF(Monitorios="SI",Datos!CD12,0)),
                          IF(J_V="SI",Datos!L12,Datos!L12+Datos!AB12)-IF(Monitorios="SI",Datos!CD12,0),
                          " - ")</f>
        <v xml:space="preserve"> - </v>
      </c>
      <c r="AB12" s="549"/>
      <c r="AC12" s="549"/>
      <c r="AD12" s="563"/>
      <c r="AE12" s="563">
        <f>IF(ISNUMBER(Datos!R12),Datos!R12," - ")</f>
        <v>7361</v>
      </c>
      <c r="AF12" s="693" t="str">
        <f>IF(ISNUMBER(Datos!BV12),Datos!BV12," - ")</f>
        <v xml:space="preserve"> - </v>
      </c>
      <c r="AG12" s="552" t="str">
        <f>IF(ISNUMBER(Datos!DV12),Datos!DV12," - ")</f>
        <v xml:space="preserve"> - </v>
      </c>
      <c r="AH12" s="553"/>
      <c r="AI12" s="554"/>
      <c r="AJ12" s="552">
        <f>IF(ISNUMBER(Datos!M12),Datos!M12," - ")</f>
        <v>999</v>
      </c>
      <c r="AK12" s="693">
        <f>IF(ISNUMBER(Datos!N12),Datos!N12," - ")</f>
        <v>1508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15.279208951340099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3.8808918995201808E-2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5</v>
      </c>
      <c r="F14" s="1197">
        <f>SUBTOTAL(9,F8:F13)</f>
        <v>78</v>
      </c>
      <c r="G14" s="1197">
        <f>SUBTOTAL(9,G8:G13)</f>
        <v>90</v>
      </c>
      <c r="H14" s="1211"/>
      <c r="I14" s="1197">
        <f t="shared" ref="I14:N14" si="1">SUBTOTAL(9,I8:I13)</f>
        <v>0</v>
      </c>
      <c r="J14" s="1164">
        <f t="shared" si="1"/>
        <v>0</v>
      </c>
      <c r="K14" s="1211">
        <f t="shared" si="1"/>
        <v>0</v>
      </c>
      <c r="L14" s="1211">
        <f t="shared" si="1"/>
        <v>0</v>
      </c>
      <c r="M14" s="1211">
        <f t="shared" si="1"/>
        <v>0</v>
      </c>
      <c r="N14" s="1211">
        <f t="shared" si="1"/>
        <v>896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50</v>
      </c>
      <c r="Z14" s="1210">
        <f t="shared" si="3"/>
        <v>621</v>
      </c>
      <c r="AA14" s="1199">
        <f t="shared" si="3"/>
        <v>105</v>
      </c>
      <c r="AB14" s="1199">
        <f t="shared" si="3"/>
        <v>0</v>
      </c>
      <c r="AC14" s="1199">
        <f t="shared" si="3"/>
        <v>0</v>
      </c>
      <c r="AD14" s="1199">
        <f t="shared" si="3"/>
        <v>0</v>
      </c>
      <c r="AE14" s="1199">
        <f t="shared" si="3"/>
        <v>7438</v>
      </c>
      <c r="AF14" s="1211">
        <f t="shared" si="3"/>
        <v>0</v>
      </c>
      <c r="AG14" s="1211">
        <f t="shared" si="3"/>
        <v>0</v>
      </c>
      <c r="AH14" s="1211">
        <f t="shared" si="3"/>
        <v>0</v>
      </c>
      <c r="AI14" s="1211">
        <f t="shared" si="3"/>
        <v>0</v>
      </c>
      <c r="AJ14" s="1211">
        <f t="shared" si="3"/>
        <v>1019</v>
      </c>
      <c r="AK14" s="1211">
        <f t="shared" si="3"/>
        <v>1517</v>
      </c>
      <c r="AL14" s="1211">
        <f t="shared" si="3"/>
        <v>0</v>
      </c>
      <c r="AM14" s="1211">
        <f t="shared" si="3"/>
        <v>0</v>
      </c>
      <c r="AN14" s="1211">
        <f t="shared" si="3"/>
        <v>0</v>
      </c>
      <c r="AO14" s="1203">
        <f>IF(ISNUMBER(((NºAsuntos!I14/NºAsuntos!G14)*11)/factor_trimestre),((NºAsuntos!I14/NºAsuntos!G14)*11)/factor_trimestre," - ")</f>
        <v>15.379655792447982</v>
      </c>
      <c r="AP14" s="1213" t="str">
        <f>IF(ISNUMBER(Datos!CI14/Datos!CJ14),Datos!CI14/Datos!CJ14," - ")</f>
        <v xml:space="preserve"> - </v>
      </c>
      <c r="AQ14" s="1236">
        <f t="shared" ref="AQ14:AV14" si="4">SUBTOTAL(9,AQ9:AQ13)</f>
        <v>0</v>
      </c>
      <c r="AR14" s="1236">
        <f t="shared" si="4"/>
        <v>3.8808918995201808E-2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3520</v>
      </c>
      <c r="G17" s="552">
        <f>IF(ISNUMBER(IF(D_I="SI",Datos!I17,Datos!I17+Datos!AC17)),IF(D_I="SI",Datos!I17,Datos!I17+Datos!AC17)," - ")</f>
        <v>3232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4558</v>
      </c>
      <c r="Z17" s="805">
        <f>IF(ISNUMBER(Datos!Q17),Datos!Q17," - ")</f>
        <v>71</v>
      </c>
      <c r="AA17" s="551">
        <f>IF(ISNUMBER(IF(D_I="SI",Datos!L17,Datos!L17+Datos!AF17)),IF(D_I="SI",Datos!L17,Datos!L17+Datos!AF17)," - ")</f>
        <v>3620</v>
      </c>
      <c r="AB17" s="549"/>
      <c r="AC17" s="549"/>
      <c r="AD17" s="563"/>
      <c r="AE17" s="563">
        <f>IF(ISNUMBER(Datos!R17),Datos!R17," - ")</f>
        <v>196</v>
      </c>
      <c r="AF17" s="693" t="str">
        <f>IF(ISNUMBER(Datos!BV17),Datos!BV17," - ")</f>
        <v xml:space="preserve"> - </v>
      </c>
      <c r="AG17" s="552"/>
      <c r="AH17" s="553"/>
      <c r="AI17" s="554"/>
      <c r="AJ17" s="552">
        <f>IF(ISNUMBER(Datos!M17),Datos!M17," - ")</f>
        <v>425</v>
      </c>
      <c r="AK17" s="693">
        <f>IF(ISNUMBER(Datos!N17),Datos!N17," - ")</f>
        <v>3042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8.7362878455462933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445</v>
      </c>
      <c r="Z18" s="805">
        <f>IF(ISNUMBER(Datos!Q18),Datos!Q18," - ")</f>
        <v>3</v>
      </c>
      <c r="AA18" s="551">
        <f>IF(ISNUMBER(Datos!L18),Datos!L18,"-")</f>
        <v>479</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16</v>
      </c>
      <c r="AK18" s="693">
        <f>IF(ISNUMBER(Datos!N18),Datos!N18," - ")</f>
        <v>333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11.840449438202249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3520</v>
      </c>
      <c r="G23" s="1197">
        <f>SUBTOTAL(9,G16:G22)</f>
        <v>3687</v>
      </c>
      <c r="H23" s="1240">
        <f>SUBTOTAL(9,H16:H22)</f>
        <v>0</v>
      </c>
      <c r="I23" s="1217">
        <f>SUBTOTAL(9,I16:I22)</f>
        <v>0</v>
      </c>
      <c r="J23" s="1164">
        <f>SUBTOTAL(9,J15:J22)</f>
        <v>0</v>
      </c>
      <c r="K23" s="1240">
        <f t="shared" ref="K23:S23" si="5">SUBTOTAL(9,K16:K22)</f>
        <v>0</v>
      </c>
      <c r="L23" s="1240">
        <f t="shared" si="5"/>
        <v>0</v>
      </c>
      <c r="M23" s="1240">
        <f t="shared" si="5"/>
        <v>0</v>
      </c>
      <c r="N23" s="1240">
        <f t="shared" si="5"/>
        <v>95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5003</v>
      </c>
      <c r="Z23" s="1240">
        <f t="shared" si="6"/>
        <v>74</v>
      </c>
      <c r="AA23" s="1240">
        <f t="shared" si="6"/>
        <v>4099</v>
      </c>
      <c r="AB23" s="1240">
        <f t="shared" si="6"/>
        <v>0</v>
      </c>
      <c r="AC23" s="1240">
        <f t="shared" si="6"/>
        <v>0</v>
      </c>
      <c r="AD23" s="1240">
        <f t="shared" si="6"/>
        <v>0</v>
      </c>
      <c r="AE23" s="1240">
        <f t="shared" si="6"/>
        <v>205</v>
      </c>
      <c r="AF23" s="1240">
        <f t="shared" si="6"/>
        <v>0</v>
      </c>
      <c r="AG23" s="1240">
        <f t="shared" si="6"/>
        <v>0</v>
      </c>
      <c r="AH23" s="1240">
        <f t="shared" si="6"/>
        <v>0</v>
      </c>
      <c r="AI23" s="1240">
        <f t="shared" si="6"/>
        <v>0</v>
      </c>
      <c r="AJ23" s="1240">
        <f t="shared" si="6"/>
        <v>441</v>
      </c>
      <c r="AK23" s="1240">
        <f t="shared" si="6"/>
        <v>3375</v>
      </c>
      <c r="AL23" s="1240">
        <f t="shared" si="6"/>
        <v>0</v>
      </c>
      <c r="AM23" s="1240">
        <f t="shared" si="6"/>
        <v>0</v>
      </c>
      <c r="AN23" s="1240">
        <f t="shared" si="6"/>
        <v>0</v>
      </c>
      <c r="AO23" s="1242">
        <f>IF(ISNUMBER(((NºAsuntos!I23/NºAsuntos!G23)*11)/factor_trimestre),((NºAsuntos!I23/NºAsuntos!G23)*11)/factor_trimestre," - ")</f>
        <v>9.0123925644613223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3598</v>
      </c>
      <c r="G31" s="1117">
        <f t="shared" si="12"/>
        <v>3777</v>
      </c>
      <c r="H31" s="1118">
        <f t="shared" si="12"/>
        <v>0</v>
      </c>
      <c r="I31" s="1117">
        <f t="shared" si="12"/>
        <v>0</v>
      </c>
      <c r="J31" s="1119">
        <f t="shared" si="12"/>
        <v>0</v>
      </c>
      <c r="K31" s="1117">
        <f t="shared" si="12"/>
        <v>0</v>
      </c>
      <c r="L31" s="1120">
        <f t="shared" si="12"/>
        <v>0</v>
      </c>
      <c r="M31" s="1117">
        <f t="shared" si="12"/>
        <v>0</v>
      </c>
      <c r="N31" s="1118">
        <f t="shared" si="12"/>
        <v>991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5053</v>
      </c>
      <c r="Z31" s="1124">
        <f t="shared" si="13"/>
        <v>695</v>
      </c>
      <c r="AA31" s="1125">
        <f t="shared" si="13"/>
        <v>4204</v>
      </c>
      <c r="AB31" s="1125">
        <f t="shared" si="13"/>
        <v>0</v>
      </c>
      <c r="AC31" s="1125">
        <f t="shared" si="13"/>
        <v>0</v>
      </c>
      <c r="AD31" s="1126">
        <f t="shared" si="13"/>
        <v>0</v>
      </c>
      <c r="AE31" s="1126">
        <f t="shared" si="13"/>
        <v>7643</v>
      </c>
      <c r="AF31" s="1127">
        <f t="shared" si="13"/>
        <v>0</v>
      </c>
      <c r="AG31" s="1128">
        <f t="shared" si="13"/>
        <v>0</v>
      </c>
      <c r="AH31" s="1129">
        <f t="shared" si="13"/>
        <v>0</v>
      </c>
      <c r="AI31" s="1127">
        <f t="shared" si="13"/>
        <v>0</v>
      </c>
      <c r="AJ31" s="1117">
        <f t="shared" si="13"/>
        <v>1460</v>
      </c>
      <c r="AK31" s="1117">
        <f t="shared" si="13"/>
        <v>4892</v>
      </c>
      <c r="AL31" s="1117">
        <f t="shared" si="13"/>
        <v>0</v>
      </c>
      <c r="AM31" s="1130">
        <f t="shared" si="13"/>
        <v>0</v>
      </c>
      <c r="AN31" s="1120">
        <f>IF(ISNUMBER(Datos!K31/Datos!J31),Datos!K31/Datos!J31," - ")</f>
        <v>0.88706887781056054</v>
      </c>
      <c r="AO31" s="1120">
        <f>IF(ISNUMBER(FIND("06",Criterios!A8,1)),(IF(ISNUMBER(((Datos!R31/Datos!Q31)*11)/factor_trimestre),((Datos!R31/Datos!Q31)*11)/factor_trimestre," - ")),(IF(ISNUMBER(((Datos!L31/Datos!K31)*11)/factor_trimestre),((Datos!L31/Datos!K31)*11)/factor_trimestre," - ")))</f>
        <v>11.847803647207249</v>
      </c>
      <c r="AP31" s="1131" t="str">
        <f>IF(ISNUMBER(Datos!CI31/Datos!CJ31),Datos!CI31/Datos!CJ31," - ")</f>
        <v xml:space="preserve"> - </v>
      </c>
      <c r="AQ31" s="1131">
        <f>IF(OR(ISNUMBER(FIND("01",Criterios!A8,1)),ISNUMBER(FIND("02",Criterios!A8,1)),ISNUMBER(FIND("03",Criterios!A8,1)),ISNUMBER(FIND("04",Criterios!A8,1))),(J31-Y31+K31)/(F31-K31),(I31-Y31+K31)/(F31-K31))</f>
        <v>-1.404391328515842</v>
      </c>
      <c r="AR31" s="1131">
        <f>IF(ISNUMBER((Datos!P31-Datos!Q31+O31)/(Datos!R31-Datos!P31+Datos!Q31-O31)),(Datos!P31-Datos!Q31+O31)/(Datos!R31-Datos!P31+Datos!Q31-O31)," - ")</f>
        <v>4.0288553150945962E-2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1079.1428571428571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1797.9190934707453</v>
      </c>
      <c r="G33" s="674">
        <f>IF(ISNUMBER(STDEV(G8:G30)),STDEV(G8:G30),"-")</f>
        <v>1638.6566071604129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438.55672381118501</v>
      </c>
      <c r="AK33" s="276"/>
      <c r="AL33" s="276">
        <f>IF(ISNUMBER(STDEV(AL8:AL30)),STDEV(AL8:AL30),"-")</f>
        <v>0</v>
      </c>
      <c r="AM33" s="278">
        <f>IF(ISNUMBER(STDEV(AM8:AM30)),STDEV(AM8:AM30),"-")</f>
        <v>0</v>
      </c>
      <c r="AN33" s="660">
        <f>IF(ISNUMBER(STDEV(AN8:AN30)),STDEV(AN8:AN30),"-")</f>
        <v>0</v>
      </c>
      <c r="AO33" s="661">
        <f>IF(ISNUMBER(STDEV(AO8:AO30)),STDEV(AO8:AO30),"-")</f>
        <v>5.3577145502491694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fi6Gw91qo1M58C/R3LVmFjyDYFKj5B6uOSSKSz6OpY/3bPBilKyDiTPqd4e5nHUmhNfRIi/le38l55d2TlFQQA==" saltValue="Gd8Hi/JAnA44KqvDEY9s8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3XxRFZxxOyEazcZdUvOexyuIwlqN3GNrqUhChxm5DcfptppJW0jfGXDr3VkQv35mkXvUyjVmnyJ0KZsUdFLQA==" saltValue="uAg+PNh/FQve92v+G6R5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dVJUsRRNE5rH5egPtf2ccX1xqmiFUUluPzPaXI8A+Lq6wYnGHBGgIk1EO8erdX2ZFYSwh+UrQBvBbm4PW2ZAw==" saltValue="nJrxNeELTFh2co/8IhyX0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VILAFRANCA DEL PENEDES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0.26175186231697917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0.18508651683254349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oFFvMrBxYN47H++Cpk0tP/4C8h+IXsh4OCh75lVXVENfto0mF21X23q8ynvx8nnf0ZnZcLFpf4UN0FRBePHoxA==" saltValue="jhzQtbYIkxXCU6wDQgcH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E9g9IhqUNFfPxfz3zuzViR/MI5Vy4Gb9zw5q8gYZBJVE+ujXD/+pPFlr6tN5JtrYJd6ssmt7fohTdrvlGGz+uA==" saltValue="0hFqOwsHFdQdT9LPBumy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VILAFRANCA DEL PENEDES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90</v>
      </c>
      <c r="D10" s="452">
        <f>IF(ISNUMBER(C10/Datos!BH10),C10/Datos!BH10," - ")</f>
        <v>90</v>
      </c>
      <c r="E10" s="451">
        <f>IF(ISNUMBER(Datos!J10),Datos!J10," - ")</f>
        <v>77</v>
      </c>
      <c r="F10" s="452">
        <f>IF(ISNUMBER(E10/B10),E10/B10," - ")</f>
        <v>77</v>
      </c>
      <c r="G10" s="451">
        <f>IF(ISNUMBER(Datos!K10),Datos!K10," - ")</f>
        <v>50</v>
      </c>
      <c r="H10" s="452">
        <f>IF(ISNUMBER(G10/B10),G10/B10," - ")</f>
        <v>50</v>
      </c>
      <c r="I10" s="451">
        <f>IF(ISNUMBER(Datos!L10),Datos!L10," - ")</f>
        <v>105</v>
      </c>
      <c r="J10" s="452">
        <f>IF(ISNUMBER(I10/B10),I10/B10," - ")</f>
        <v>105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4237</v>
      </c>
      <c r="D12" s="452">
        <f>IF(ISNUMBER(C12/Datos!BH12),C12/Datos!BH12," - ")</f>
        <v>847.4</v>
      </c>
      <c r="E12" s="451">
        <f>IF(ISNUMBER(IF(J_V="SI",Datos!J12,Datos!J12+Datos!Z12)),IF(J_V="SI",Datos!J12,Datos!J12+Datos!Z12)," - ")</f>
        <v>4842</v>
      </c>
      <c r="F12" s="452">
        <f>IF(ISNUMBER(E12/B12),E12/B12," - ")</f>
        <v>968.4</v>
      </c>
      <c r="G12" s="451">
        <f>IF(ISNUMBER(IF(J_V="SI",Datos!K12,Datos!K12+Datos!AA12)),IF(J_V="SI",Datos!K12,Datos!K12+Datos!AA12)," - ")</f>
        <v>3843</v>
      </c>
      <c r="H12" s="452">
        <f>IF(ISNUMBER(G12/B12),G12/B12," - ")</f>
        <v>768.6</v>
      </c>
      <c r="I12" s="451">
        <f>IF(ISNUMBER(IF(J_V="SI",Datos!L12,Datos!L12+Datos!AB12)),IF(J_V="SI",Datos!L12,Datos!L12+Datos!AB12)," - ")</f>
        <v>5338</v>
      </c>
      <c r="J12" s="452">
        <f>IF(ISNUMBER(I12/B12),I12/B12," - ")</f>
        <v>1067.5999999999999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4327</v>
      </c>
      <c r="D14" s="1147" t="str">
        <f>IF(ISNUMBER(C14/Datos!BI14),C14/Datos!BI14," - ")</f>
        <v xml:space="preserve"> - </v>
      </c>
      <c r="E14" s="1146">
        <f>SUBTOTAL(9,E8:E13)</f>
        <v>4919</v>
      </c>
      <c r="F14" s="1147">
        <f>IF(ISNUMBER(E14/B14),E14/B14," - ")</f>
        <v>983.8</v>
      </c>
      <c r="G14" s="1146">
        <f>SUBTOTAL(9,G8:G13)</f>
        <v>3893</v>
      </c>
      <c r="H14" s="1147">
        <f>IF(ISNUMBER(G14/B14),G14/B14," - ")</f>
        <v>778.6</v>
      </c>
      <c r="I14" s="1146">
        <f>SUBTOTAL(9,I8:I13)</f>
        <v>5443</v>
      </c>
      <c r="J14" s="1147">
        <f>IF(ISNUMBER(I14/B14),I14/B14," - ")</f>
        <v>1088.5999999999999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3232</v>
      </c>
      <c r="D17" s="452">
        <f>IF(ISNUMBER(C17/Datos!BH17),C17/Datos!BH17," - ")</f>
        <v>646.4</v>
      </c>
      <c r="E17" s="451">
        <f>IF(ISNUMBER(IF(D_I="SI",Datos!J17,Datos!J17+Datos!AD17)),IF(D_I="SI",Datos!J17,Datos!J17+Datos!AD17)," - ")</f>
        <v>4658</v>
      </c>
      <c r="F17" s="452">
        <f>IF(ISNUMBER(E17/B17),E17/B17," - ")</f>
        <v>931.6</v>
      </c>
      <c r="G17" s="451">
        <f>IF(ISNUMBER(IF(D_I="SI",Datos!K17,Datos!K17+Datos!AE17)),IF(D_I="SI",Datos!K17,Datos!K17+Datos!AE17)," - ")</f>
        <v>4558</v>
      </c>
      <c r="H17" s="452">
        <f>IF(ISNUMBER(G17/B17),G17/B17," - ")</f>
        <v>911.6</v>
      </c>
      <c r="I17" s="451">
        <f>IF(ISNUMBER(IF(D_I="SI",Datos!L17,Datos!L17+Datos!AF17)),IF(D_I="SI",Datos!L17,Datos!L17+Datos!AF17)," - ")</f>
        <v>3620</v>
      </c>
      <c r="J17" s="452">
        <f>IF(ISNUMBER(I17/B17),I17/B17," - ")</f>
        <v>724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455</v>
      </c>
      <c r="D18" s="452">
        <f>IF(ISNUMBER(C18/Datos!BH18),C18/Datos!BH18," - ")</f>
        <v>455</v>
      </c>
      <c r="E18" s="451">
        <f>IF(ISNUMBER(IF(D_I="SI",Datos!J18,Datos!J18+Datos!AD18)),IF(D_I="SI",Datos!J18,Datos!J18+Datos!AD18)," - ")</f>
        <v>469</v>
      </c>
      <c r="F18" s="452">
        <f>IF(ISNUMBER(E18/B18),E18/B18," - ")</f>
        <v>469</v>
      </c>
      <c r="G18" s="451">
        <f>IF(ISNUMBER(IF(D_I="SI",Datos!K18,Datos!K18+Datos!AE18)),IF(D_I="SI",Datos!K18,Datos!K18+Datos!AE18)," - ")</f>
        <v>445</v>
      </c>
      <c r="H18" s="452">
        <f>IF(ISNUMBER(G18/B18),G18/B18," - ")</f>
        <v>445</v>
      </c>
      <c r="I18" s="451">
        <f>IF(ISNUMBER(IF(D_I="SI",Datos!L18,Datos!L18+Datos!AF18)),IF(D_I="SI",Datos!L18,Datos!L18+Datos!AF18)," - ")</f>
        <v>479</v>
      </c>
      <c r="J18" s="452">
        <f>IF(ISNUMBER(I18/B18),I18/B18," - ")</f>
        <v>479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3687</v>
      </c>
      <c r="D23" s="1147" t="str">
        <f>IF(ISNUMBER(C23/Datos!BI23),C23/Datos!BI23," - ")</f>
        <v xml:space="preserve"> - </v>
      </c>
      <c r="E23" s="1146">
        <f>SUBTOTAL(9,E15:E22)</f>
        <v>5127</v>
      </c>
      <c r="F23" s="1147">
        <f>IF(ISNUMBER(E23/B23),E23/B23," - ")</f>
        <v>1025.4000000000001</v>
      </c>
      <c r="G23" s="1146">
        <f>SUBTOTAL(9,G15:G22)</f>
        <v>5003</v>
      </c>
      <c r="H23" s="1147">
        <f>IF(ISNUMBER(G23/B23),G23/B23," - ")</f>
        <v>1000.6</v>
      </c>
      <c r="I23" s="1146">
        <f>SUBTOTAL(9,I15:I22)</f>
        <v>4099</v>
      </c>
      <c r="J23" s="1147">
        <f>IF(ISNUMBER(I23/B23),I23/B23," - ")</f>
        <v>819.8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8014</v>
      </c>
      <c r="D31" s="1085" t="str">
        <f>IF(ISNUMBER(C31/Datos!BI31),C31/Datos!BI31," - ")</f>
        <v xml:space="preserve"> - </v>
      </c>
      <c r="E31" s="1084">
        <f>SUBTOTAL(9,E9:E30)</f>
        <v>10046</v>
      </c>
      <c r="F31" s="1085">
        <f>IF(ISNUMBER(E31/B31),E31/B31," - ")</f>
        <v>2009.2</v>
      </c>
      <c r="G31" s="1084">
        <f>SUBTOTAL(9,G9:G30)</f>
        <v>8896</v>
      </c>
      <c r="H31" s="1085">
        <f>IF(ISNUMBER(G31/B31),G31/B31," - ")</f>
        <v>1779.2</v>
      </c>
      <c r="I31" s="1084">
        <f>SUBTOTAL(9,I9:I30)</f>
        <v>9542</v>
      </c>
      <c r="J31" s="1085">
        <f>IF(ISNUMBER(I31/B31),I31/B31," - ")</f>
        <v>1908.4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R0Od0lZs5BBBAVbBwHGNN/hBseIUzrmNSAHfFtbRgPUlH+jj/NWhMBi8B3KQ+yFQFZx/j3pPmLU0txq9MTeI4g==" saltValue="D/i9Vq1Im6Vzxsi+I+POy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VILAFRANCA DEL PENEDES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78</v>
      </c>
      <c r="G10" s="906">
        <f>IF(ISNUMBER(Datos!I10),Datos!I10," - ")</f>
        <v>90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50</v>
      </c>
      <c r="AC10" s="905" t="str">
        <f>IF(ISNUMBER(IF(D_I="SI",DatosP!K18,DatosP!K18+DatosP!AE18)),IF(D_I="SI",DatosP!K18,DatosP!K18+DatosP!AE18)," - ")</f>
        <v xml:space="preserve"> - </v>
      </c>
      <c r="AD10" s="907"/>
      <c r="AE10" s="907"/>
      <c r="AF10" s="910">
        <f>IF(ISNUMBER(Datos!L10),Datos!L10,"-")</f>
        <v>105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20</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23.1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892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7361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999</v>
      </c>
      <c r="AM12" s="914">
        <f>IF(ISNUMBER(Datos!N12+DatosP!N17),Datos!N12+DatosP!N17," - ")</f>
        <v>1508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15.279208951340099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3.8808918995201808E-2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78</v>
      </c>
      <c r="G14" s="1256">
        <f t="shared" si="0"/>
        <v>90</v>
      </c>
      <c r="H14" s="1256">
        <f t="shared" si="0"/>
        <v>0</v>
      </c>
      <c r="I14" s="1258">
        <f t="shared" si="0"/>
        <v>0</v>
      </c>
      <c r="J14" s="1257">
        <f t="shared" si="0"/>
        <v>0</v>
      </c>
      <c r="K14" s="1257">
        <f t="shared" si="0"/>
        <v>0</v>
      </c>
      <c r="L14" s="1259">
        <f t="shared" si="0"/>
        <v>0</v>
      </c>
      <c r="M14" s="1259">
        <f t="shared" si="0"/>
        <v>0</v>
      </c>
      <c r="N14" s="1257">
        <f t="shared" si="0"/>
        <v>896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50</v>
      </c>
      <c r="AC14" s="1257">
        <f t="shared" si="1"/>
        <v>0</v>
      </c>
      <c r="AD14" s="1257">
        <f t="shared" si="1"/>
        <v>617</v>
      </c>
      <c r="AE14" s="1257">
        <f t="shared" si="1"/>
        <v>0</v>
      </c>
      <c r="AF14" s="1257">
        <f t="shared" si="1"/>
        <v>105</v>
      </c>
      <c r="AG14" s="1257">
        <f t="shared" si="1"/>
        <v>0</v>
      </c>
      <c r="AH14" s="1257">
        <f t="shared" si="1"/>
        <v>7361</v>
      </c>
      <c r="AI14" s="1257">
        <f t="shared" si="1"/>
        <v>0</v>
      </c>
      <c r="AJ14" s="1257">
        <f t="shared" si="1"/>
        <v>0</v>
      </c>
      <c r="AK14" s="1257">
        <f t="shared" si="1"/>
        <v>0</v>
      </c>
      <c r="AL14" s="1257">
        <f t="shared" si="1"/>
        <v>1019</v>
      </c>
      <c r="AM14" s="1257">
        <f t="shared" si="1"/>
        <v>1517</v>
      </c>
      <c r="AN14" s="1257">
        <f t="shared" si="1"/>
        <v>0</v>
      </c>
      <c r="AO14" s="1257">
        <f t="shared" si="1"/>
        <v>0</v>
      </c>
      <c r="AP14" s="1262">
        <f>IF(ISNUMBER(((Datos!L14/Datos!K14)*11)/factor_trimestre),((Datos!L14/Datos!K14)*11)/factor_trimestre," - ")</f>
        <v>15.665231431646932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-0.64102564102564108</v>
      </c>
      <c r="AU14" s="1257" t="str">
        <f>IF(ISNUMBER((DatosP!#REF!-DatosP!#REF!+DatosP!#REF!)/(DatosP!#REF!+DatosP!#REF!-DatosP!#REF!-DatosP!#REF!)),(DatosP!#REF!-DatosP!#REF!+DatosP!#REF!)/(DatosP!#REF!+DatosP!#REF!-DatosP!#REF!-DatosP!#REF!)," - ")</f>
        <v xml:space="preserve"> - </v>
      </c>
      <c r="AV14" s="1263">
        <f>SUBTOTAL(9,AV9:AV13)</f>
        <v>3.8808918995201808E-2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9.0123925644613223</v>
      </c>
      <c r="AQ23" s="1262">
        <f>IF(ISNUMBER(((Datos!M23/Datos!L23)*11)/factor_trimestre),((Datos!M23/Datos!L23)*11)/factor_trimestre," - ")</f>
        <v>1.1834593803366675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0.11413043478260869</v>
      </c>
      <c r="AW23" s="1265">
        <f>IF(ISNUMBER((Datos!Q23-Datos!R23)/(Datos!S23-Datos!Q23+Datos!R23)),(Datos!Q23-Datos!R23)/(Datos!S23-Datos!Q23+Datos!R23)," - ")</f>
        <v>-3.2546583850931676E-2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78</v>
      </c>
      <c r="G31" s="1278">
        <f t="shared" si="8"/>
        <v>90</v>
      </c>
      <c r="H31" s="1278">
        <f t="shared" si="8"/>
        <v>0</v>
      </c>
      <c r="I31" s="1279">
        <f t="shared" si="8"/>
        <v>0</v>
      </c>
      <c r="J31" s="1280">
        <f t="shared" si="8"/>
        <v>0</v>
      </c>
      <c r="K31" s="1280">
        <f t="shared" si="8"/>
        <v>0</v>
      </c>
      <c r="L31" s="1280">
        <f t="shared" si="8"/>
        <v>0</v>
      </c>
      <c r="M31" s="1280">
        <f t="shared" si="8"/>
        <v>0</v>
      </c>
      <c r="N31" s="1279">
        <f t="shared" si="8"/>
        <v>896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50</v>
      </c>
      <c r="AC31" s="1284">
        <f t="shared" si="9"/>
        <v>0</v>
      </c>
      <c r="AD31" s="1284">
        <f t="shared" si="9"/>
        <v>617</v>
      </c>
      <c r="AE31" s="1284">
        <f t="shared" si="9"/>
        <v>0</v>
      </c>
      <c r="AF31" s="1285">
        <f t="shared" si="9"/>
        <v>105</v>
      </c>
      <c r="AG31" s="1285">
        <f t="shared" si="9"/>
        <v>0</v>
      </c>
      <c r="AH31" s="1285">
        <f t="shared" si="9"/>
        <v>7361</v>
      </c>
      <c r="AI31" s="1285">
        <f t="shared" si="9"/>
        <v>0</v>
      </c>
      <c r="AJ31" s="1286">
        <f t="shared" si="9"/>
        <v>0</v>
      </c>
      <c r="AK31" s="1286">
        <f t="shared" si="9"/>
        <v>0</v>
      </c>
      <c r="AL31" s="1278">
        <f t="shared" si="9"/>
        <v>1019</v>
      </c>
      <c r="AM31" s="1278">
        <f t="shared" si="9"/>
        <v>1517</v>
      </c>
      <c r="AN31" s="1278">
        <f t="shared" si="9"/>
        <v>0</v>
      </c>
      <c r="AO31" s="1278">
        <f t="shared" si="9"/>
        <v>0</v>
      </c>
      <c r="AP31" s="1278">
        <f>IF(ISNUMBER(((Datos!L31/Datos!K31)*11)/factor_trimestre),((Datos!L31/Datos!K31)*11)/factor_trimestre," - ")</f>
        <v>11.847803647207249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-0.64102564102564108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4.0288553150945962E-2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42.722359485402954</v>
      </c>
      <c r="G33" s="1007">
        <f>IF(ISNUMBER(STDEV(G8:G30)),STDEV(G8:G30),"-")</f>
        <v>49.295030175464952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27.386127875258307</v>
      </c>
      <c r="AC33" s="1008">
        <f>IF(ISNUMBER(STDEV(AC8:AC30)),STDEV(AC8:AC30),"-")</f>
        <v>0</v>
      </c>
      <c r="AD33" s="1011"/>
      <c r="AE33" s="1011"/>
      <c r="AF33" s="1011"/>
      <c r="AG33" s="1011"/>
      <c r="AH33" s="1011"/>
      <c r="AI33" s="1011"/>
      <c r="AJ33" s="1012">
        <f>IF(ISNUMBER(STDEV(AJ8:AJ30)),STDEV(AJ8:AJ30),"-")</f>
        <v>0</v>
      </c>
      <c r="AK33" s="1014"/>
      <c r="AL33" s="1006">
        <f>IF(ISNUMBER(STDEV(AL8:AL30)),STDEV(AL8:AL30),"-")</f>
        <v>518.55980047306673</v>
      </c>
      <c r="AM33" s="1006"/>
      <c r="AN33" s="1006">
        <f>IF(ISNUMBER(STDEV(AN8:AN30)),STDEV(AN8:AN30),"-")</f>
        <v>0</v>
      </c>
      <c r="AO33" s="1012">
        <f>IF(ISNUMBER(STDEV(AO8:AO30)),STDEV(AO8:AO30),"-")</f>
        <v>0</v>
      </c>
      <c r="AP33" s="1065">
        <f>IF(ISNUMBER(STDEV(AP8:AP30)),STDEV(AP8:AP30),"-")</f>
        <v>5.763270957281283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hSeq/a+1+xpW3iRaZLdiuWz92tDR2QO2W+TPUQ9Q7gY1PnZSk66I1OPBJmL3Qwk2D3aPFhzTd3z3SW9BCA1IRw==" saltValue="xFPbjre6KJJ4mMP+PNaI5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VILAFRANCA DEL PENEDES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zPioD97jHlvytjcKiDVa9lDNDUh7FLUBc2zK/qkqjllOxkj42SbCf9QkM0u1W4fOM2bb+3aMSuz4yckHhcxZLA==" saltValue="tnkm48iDLhGuAnM+hMORi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VILAFRANCA DEL PENEDES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20</v>
      </c>
      <c r="E10" s="452">
        <f>IF(ISNUMBER(D10/B10),D10/B10," - ")</f>
        <v>20</v>
      </c>
      <c r="F10" s="451">
        <f>IF(ISNUMBER(Datos!N10),Datos!N10," - ")</f>
        <v>9</v>
      </c>
      <c r="G10" s="452">
        <f>IF(ISNUMBER(F10/B10),F10/B10," - ")</f>
        <v>9</v>
      </c>
      <c r="H10" s="451">
        <f>IF(ISNUMBER(Datos!O10),Datos!O10," - ")</f>
        <v>18</v>
      </c>
      <c r="I10" s="452">
        <f t="shared" ref="I10:I13" si="2">IF(ISNUMBER(H10/B10),H10/B10," - ")</f>
        <v>18</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999</v>
      </c>
      <c r="E12" s="452">
        <f t="shared" si="0"/>
        <v>199.8</v>
      </c>
      <c r="F12" s="451">
        <f>IF(ISNUMBER(Datos!N12),Datos!N12," - ")</f>
        <v>1508</v>
      </c>
      <c r="G12" s="452">
        <f t="shared" si="1"/>
        <v>301.60000000000002</v>
      </c>
      <c r="H12" s="451">
        <f>IF(ISNUMBER(Datos!O12),Datos!O12," - ")</f>
        <v>1515</v>
      </c>
      <c r="I12" s="452">
        <f t="shared" si="2"/>
        <v>303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1019</v>
      </c>
      <c r="E14" s="1147">
        <f t="shared" si="0"/>
        <v>169.83333333333334</v>
      </c>
      <c r="F14" s="1146">
        <f>SUBTOTAL(9,F9:F13)</f>
        <v>1517</v>
      </c>
      <c r="G14" s="1147">
        <f t="shared" si="1"/>
        <v>252.83333333333334</v>
      </c>
      <c r="H14" s="1146">
        <f>SUBTOTAL(9,H9:H13)</f>
        <v>1533</v>
      </c>
      <c r="I14" s="1147">
        <f>IF(ISNUMBER(H14/B14),H14/B14," - ")</f>
        <v>255.5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425</v>
      </c>
      <c r="E17" s="452">
        <f t="shared" si="3"/>
        <v>85</v>
      </c>
      <c r="F17" s="451">
        <f>IF(ISNUMBER(Datos!N17),Datos!N17," - ")</f>
        <v>3042</v>
      </c>
      <c r="G17" s="452">
        <f t="shared" si="4"/>
        <v>608.4</v>
      </c>
      <c r="H17" s="451">
        <f>IF(ISNUMBER(Datos!O17),Datos!O17," - ")</f>
        <v>27</v>
      </c>
      <c r="I17" s="452">
        <f t="shared" si="5"/>
        <v>5.4</v>
      </c>
    </row>
    <row r="18" spans="1:9">
      <c r="A18" s="450" t="str">
        <f>Datos!A18</f>
        <v>Jdos. Violencia contra la mujer</v>
      </c>
      <c r="B18" s="480">
        <f>Datos!AO18</f>
        <v>1</v>
      </c>
      <c r="C18" s="481">
        <f>Datos!AQ18</f>
        <v>0</v>
      </c>
      <c r="D18" s="451">
        <f>IF(ISNUMBER(Datos!M18),Datos!M18," - ")</f>
        <v>16</v>
      </c>
      <c r="E18" s="452">
        <f>IF(ISNUMBER(D18/B18),D18/B18," - ")</f>
        <v>16</v>
      </c>
      <c r="F18" s="451">
        <f>IF(ISNUMBER(Datos!N18),Datos!N18," - ")</f>
        <v>333</v>
      </c>
      <c r="G18" s="452">
        <f>IF(ISNUMBER(F18/B18),F18/B18," - ")</f>
        <v>333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441</v>
      </c>
      <c r="E23" s="1147">
        <f t="shared" si="3"/>
        <v>73.5</v>
      </c>
      <c r="F23" s="1146">
        <f>SUBTOTAL(9,F16:F22)</f>
        <v>3375</v>
      </c>
      <c r="G23" s="1147">
        <f t="shared" si="4"/>
        <v>562.5</v>
      </c>
      <c r="H23" s="1146">
        <f>SUBTOTAL(9,H16:H22)</f>
        <v>27</v>
      </c>
      <c r="I23" s="1147">
        <f>IF(ISNUMBER(H23/B23),H23/B23," - ")</f>
        <v>4.5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1460</v>
      </c>
      <c r="E31" s="1085">
        <f>IF(ISNUMBER(D31/B31),D31/B31," - ")</f>
        <v>292</v>
      </c>
      <c r="F31" s="1084">
        <f>SUBTOTAL(9,F8:F30)</f>
        <v>4892</v>
      </c>
      <c r="G31" s="1085">
        <f>IF(ISNUMBER(F31/B31),F31/B31," - ")</f>
        <v>978.4</v>
      </c>
      <c r="H31" s="1084">
        <f>SUBTOTAL(9,H8:H30)</f>
        <v>1560</v>
      </c>
      <c r="I31" s="1085">
        <f>IF(ISNUMBER(H31/B31),H31/B31," - ")</f>
        <v>312</v>
      </c>
    </row>
    <row r="34" spans="1:1">
      <c r="A34" s="439" t="str">
        <f>Criterios!A4</f>
        <v>Fecha Informe: 14 abr. 2023</v>
      </c>
    </row>
    <row r="39" spans="1:1">
      <c r="A39" s="462"/>
    </row>
  </sheetData>
  <sheetProtection algorithmName="SHA-512" hashValue="SDNwD+oNInqpM9iHMZzYO0+NwVmoLDucJ+v9nsHA6Y3dKRGcM2EgjLWtp0cUSmeMzRN8SJlaqzmSMxtWJtfU7g==" saltValue="X5EHp/yZQ7pqs60rLAwp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VILAFRANCA DEL PENEDES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4</v>
      </c>
      <c r="D10" s="456">
        <f>IF(ISNUMBER(Datos!R10),Datos!R10," - ")</f>
        <v>77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892</v>
      </c>
      <c r="C12" s="489">
        <f>IF(ISNUMBER(Datos!Q12),Datos!Q12," - ")</f>
        <v>617</v>
      </c>
      <c r="D12" s="456">
        <f>IF(ISNUMBER(Datos!R12),Datos!R12," - ")</f>
        <v>7361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896</v>
      </c>
      <c r="C14" s="1150">
        <f>SUBTOTAL(9,C9:C13)</f>
        <v>621</v>
      </c>
      <c r="D14" s="1148">
        <f>SUBTOTAL(9,D9:D13)</f>
        <v>7438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92</v>
      </c>
      <c r="C17" s="489">
        <f>IF(ISNUMBER(Datos!Q17),Datos!Q17," - ")</f>
        <v>71</v>
      </c>
      <c r="D17" s="456">
        <f>IF(ISNUMBER(Datos!R17),Datos!R17," - ")</f>
        <v>196</v>
      </c>
    </row>
    <row r="18" spans="1:4">
      <c r="A18" s="450" t="str">
        <f>Datos!A18</f>
        <v>Jdos. Violencia contra la mujer</v>
      </c>
      <c r="B18" s="488">
        <f>IF(ISNUMBER(Datos!P18),Datos!P18," - ")</f>
        <v>3</v>
      </c>
      <c r="C18" s="489">
        <f>IF(ISNUMBER(Datos!Q18),Datos!Q18," - ")</f>
        <v>3</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95</v>
      </c>
      <c r="C23" s="1150">
        <f>SUBTOTAL(9,C16:C22)</f>
        <v>74</v>
      </c>
      <c r="D23" s="1148">
        <f>SUBTOTAL(9,D16:D22)</f>
        <v>205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991</v>
      </c>
      <c r="C31" s="1089">
        <f>SUBTOTAL(9,C8:C30)</f>
        <v>695</v>
      </c>
      <c r="D31" s="1090">
        <f>SUBTOTAL(9,D8:D30)</f>
        <v>7643</v>
      </c>
    </row>
    <row r="32" spans="1:4" ht="7.5" customHeight="1"/>
    <row r="33" spans="1:1" ht="6" customHeight="1"/>
    <row r="34" spans="1:1">
      <c r="A34" s="439" t="str">
        <f>Criterios!A4</f>
        <v>Fecha Informe: 14 abr. 2023</v>
      </c>
    </row>
    <row r="39" spans="1:1">
      <c r="A39" s="462"/>
    </row>
  </sheetData>
  <sheetProtection algorithmName="SHA-512" hashValue="51qTJpLg4tVLYrN5XXkhmCl3BsBWrvP2wR0MdsV99LiIOy2JCa8T8HpHcMFwawrxTN1J3SR/tQEexRbKa7CSxA==" saltValue="4Qor2ml4/aQCpvduwRRE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VILAFRANCA DEL PENEDES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7.1428571428571425E-2</v>
      </c>
      <c r="C10" s="515">
        <f>IF(ISNUMBER((Datos!J10-Datos!T10)/Datos!T10),(Datos!J10-Datos!T10)/Datos!T10," - ")</f>
        <v>-2.5316455696202531E-2</v>
      </c>
      <c r="D10" s="515">
        <f>IF(ISNUMBER((Datos!K10-Datos!U10)/Datos!U10),(Datos!K10-Datos!U10)/Datos!U10," - ")</f>
        <v>-0.31506849315068491</v>
      </c>
      <c r="E10" s="515">
        <f>IF(ISNUMBER((Datos!L10-Datos!V10)/Datos!V10),(Datos!L10-Datos!V10)/Datos!V10," - ")</f>
        <v>0.16666666666666666</v>
      </c>
      <c r="F10" s="515">
        <f>IF(ISNUMBER((Datos!M10-Datos!W10)/Datos!W10),(Datos!M10-Datos!W10)/Datos!W10," - ")</f>
        <v>-0.31034482758620691</v>
      </c>
      <c r="G10" s="516">
        <f>IF(ISNUMBER((Datos!N10-Datos!X10)/Datos!X10),(Datos!N10-Datos!X10)/Datos!X10," - ")</f>
        <v>-0.6785714285714286</v>
      </c>
      <c r="H10" s="514">
        <f>IF(ISNUMBER(((NºAsuntos!G10/NºAsuntos!E10)-Datos!BD10)/Datos!BD10),((NºAsuntos!G10/NºAsuntos!E10)-Datos!BD10)/Datos!BD10," - ")</f>
        <v>-0.29727806440135213</v>
      </c>
      <c r="I10" s="515">
        <f>IF(ISNUMBER(((NºAsuntos!I10/NºAsuntos!G10)-Datos!BE10)/Datos!BE10),((NºAsuntos!I10/NºAsuntos!G10)-Datos!BE10)/Datos!BE10," - ")</f>
        <v>0.70333333333333337</v>
      </c>
      <c r="J10" s="521">
        <f>IF(ISNUMBER((('Resol  Asuntos'!D10/NºAsuntos!G10)-Datos!BF10)/Datos!BF10),(('Resol  Asuntos'!D10/NºAsuntos!G10)-Datos!BF10)/Datos!BF10," - ")</f>
        <v>6.8965517241380428E-3</v>
      </c>
      <c r="K10" s="522">
        <f>IF(ISNUMBER((((NºAsuntos!C10+NºAsuntos!E10)/NºAsuntos!G10)-Datos!BG10)/Datos!BG10),(((NºAsuntos!C10+NºAsuntos!E10)/NºAsuntos!G10)-Datos!BG10)/Datos!BG10," - ")</f>
        <v>0.49582822085889561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-3.9011113631208891E-2</v>
      </c>
      <c r="C12" s="515">
        <f>IF(ISNUMBER(
   IF(J_V="SI",(Datos!J12-Datos!T12)/Datos!T12,(Datos!J12+Datos!Z12-(Datos!T12+Datos!AH12))/(Datos!T12+Datos!AH12))
     ),IF(J_V="SI",(Datos!J12-Datos!T12)/Datos!T12,(Datos!J12+Datos!Z12-(Datos!T12+Datos!AH12))/(Datos!T12+Datos!AH12))," - ")</f>
        <v>0.15423122765196662</v>
      </c>
      <c r="D12" s="515">
        <f>IF(ISNUMBER(
   IF(J_V="SI",(Datos!K12-Datos!U12)/Datos!U12,(Datos!K12+Datos!AA12-(Datos!U12+Datos!AI12))/(Datos!U12+Datos!AI12))
     ),IF(J_V="SI",(Datos!K12-Datos!U12)/Datos!U12,(Datos!K12+Datos!AA12-(Datos!U12+Datos!AI12))/(Datos!U12+Datos!AI12))," - ")</f>
        <v>-0.11041666666666666</v>
      </c>
      <c r="E12" s="515">
        <f>IF(ISNUMBER(
   IF(J_V="SI",(Datos!L12-Datos!V12)/Datos!V12,(Datos!L12+Datos!AB12-(Datos!V12+Datos!AJ12))/(Datos!V12+Datos!AJ12))
     ),IF(J_V="SI",(Datos!L12-Datos!V12)/Datos!V12,(Datos!L12+Datos!AB12-(Datos!V12+Datos!AJ12))/(Datos!V12+Datos!AJ12))," - ")</f>
        <v>0.25985367004956339</v>
      </c>
      <c r="F12" s="515">
        <f>IF(ISNUMBER((Datos!M12-Datos!W12)/Datos!W12),(Datos!M12-Datos!W12)/Datos!W12," - ")</f>
        <v>0.26455696202531648</v>
      </c>
      <c r="G12" s="516">
        <f>IF(ISNUMBER((Datos!N12-Datos!X12)/Datos!X12),(Datos!N12-Datos!X12)/Datos!X12," - ")</f>
        <v>-6.5096094234345939E-2</v>
      </c>
      <c r="H12" s="514">
        <f>IF(ISNUMBER(((NºAsuntos!G12/NºAsuntos!E12)-Datos!BD12)/Datos!BD12),((NºAsuntos!G12/NºAsuntos!E12)-Datos!BD12)/Datos!BD12," - ")</f>
        <v>-0.22928498898526792</v>
      </c>
      <c r="I12" s="515">
        <f>IF(ISNUMBER(((NºAsuntos!I12/NºAsuntos!G12)-Datos!BE12)/Datos!BE12),((NºAsuntos!I12/NºAsuntos!G12)-Datos!BE12)/Datos!BE12," - ")</f>
        <v>0.41622894993861909</v>
      </c>
      <c r="J12" s="521">
        <f>IF(ISNUMBER((('Resol  Asuntos'!D12/NºAsuntos!G12)-Datos!BF12)/Datos!BF12),(('Resol  Asuntos'!D12/NºAsuntos!G12)-Datos!BF12)/Datos!BF12," - ")</f>
        <v>-0.30378322499713245</v>
      </c>
      <c r="K12" s="522">
        <f>IF(ISNUMBER((((NºAsuntos!C12+NºAsuntos!E12)/NºAsuntos!G12)-Datos!BG12)/Datos!BG12),(((NºAsuntos!C12+NºAsuntos!E12)/NºAsuntos!G12)-Datos!BG12)/Datos!BG12," - ")</f>
        <v>0.18618103665089047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-3.694636100600935E-2</v>
      </c>
      <c r="C14" s="1152">
        <f>IF(ISNUMBER(
   IF(J_V="SI",(Datos!J14-Datos!T14)/Datos!T14,(Datos!J14+Datos!Z14-(Datos!T14+Datos!AH14))/(Datos!T14+Datos!AH14))
     ),IF(J_V="SI",(Datos!J14-Datos!T14)/Datos!T14,(Datos!J14+Datos!Z14-(Datos!T14+Datos!AH14))/(Datos!T14+Datos!AH14))," - ")</f>
        <v>0.15091249415067853</v>
      </c>
      <c r="D14" s="1152">
        <f>IF(ISNUMBER(
   IF(J_V="SI",(Datos!K14-Datos!U14)/Datos!U14,(Datos!K14+Datos!AA14-(Datos!U14+Datos!AI14))/(Datos!U14+Datos!AI14))
     ),IF(J_V="SI",(Datos!K14-Datos!U14)/Datos!U14,(Datos!K14+Datos!AA14-(Datos!U14+Datos!AI14))/(Datos!U14+Datos!AI14))," - ")</f>
        <v>-0.11381743683132256</v>
      </c>
      <c r="E14" s="1152">
        <f>IF(ISNUMBER(
   IF(J_V="SI",(Datos!L14-Datos!V14)/Datos!V14,(Datos!L14+Datos!AB14-(Datos!V14+Datos!AJ14))/(Datos!V14+Datos!AJ14))
     ),IF(J_V="SI",(Datos!L14-Datos!V14)/Datos!V14,(Datos!L14+Datos!AB14-(Datos!V14+Datos!AJ14))/(Datos!V14+Datos!AJ14))," - ")</f>
        <v>0.25791541483706959</v>
      </c>
      <c r="F14" s="1153">
        <f>IF(ISNUMBER((Datos!M14-Datos!W14)/Datos!W14),(Datos!M14-Datos!W14)/Datos!W14," - ")</f>
        <v>0.24420024420024419</v>
      </c>
      <c r="G14" s="1154">
        <f>IF(ISNUMBER((Datos!N14-Datos!X14)/Datos!X14),(Datos!N14-Datos!X14)/Datos!X14," - ")</f>
        <v>-7.5563680682510667E-2</v>
      </c>
      <c r="H14" s="1154">
        <f>IF(ISNUMBER(((NºAsuntos!G14/NºAsuntos!E14)-Datos!BD14)/Datos!BD14),((NºAsuntos!G14/NºAsuntos!E14)-Datos!BD14)/Datos!BD14," - ")</f>
        <v>-0.23001742732609726</v>
      </c>
      <c r="I14" s="1154">
        <f>IF(ISNUMBER(((NºAsuntos!I14/NºAsuntos!G14)-Datos!BE14)/Datos!BE14),((NºAsuntos!I14/NºAsuntos!G14)-Datos!BE14)/Datos!BE14," - ")</f>
        <v>0.41947660348811877</v>
      </c>
      <c r="J14" s="1154">
        <f>IF(ISNUMBER((('Resol  Asuntos'!D14/NºAsuntos!G14)-Datos!BF14)/Datos!BF14),(('Resol  Asuntos'!D14/NºAsuntos!G14)-Datos!BF14)/Datos!BF14," - ")</f>
        <v>-0.29971015154781394</v>
      </c>
      <c r="K14" s="1154">
        <f>IF(ISNUMBER((((NºAsuntos!C14+NºAsuntos!E14)/NºAsuntos!G14)-Datos!BG14)/Datos!BG14),(((NºAsuntos!C14+NºAsuntos!E14)/NºAsuntos!G14)-Datos!BG14)/Datos!BG14," - ")</f>
        <v>0.19008966059732146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-9.5438007276798215E-2</v>
      </c>
      <c r="C17" s="515">
        <f>IF(ISNUMBER(
   IF(D_I="SI",(Datos!J17-Datos!T17)/Datos!T17,(Datos!J17+Datos!AD17-(Datos!T17+Datos!AL17))/(Datos!T17+Datos!AL17))
     ),IF(D_I="SI",(Datos!J17-Datos!T17)/Datos!T17,(Datos!J17+Datos!AD17-(Datos!T17+Datos!AL17))/(Datos!T17+Datos!AL17))," - ")</f>
        <v>9.5742178310985651E-2</v>
      </c>
      <c r="D17" s="515">
        <f>IF(ISNUMBER(
   IF(D_I="SI",(Datos!K17-Datos!U17)/Datos!U17,(Datos!K17+Datos!AE17-(Datos!U17+Datos!AM17))/(Datos!U17+Datos!AM17))
     ),IF(D_I="SI",(Datos!K17-Datos!U17)/Datos!U17,(Datos!K17+Datos!AE17-(Datos!U17+Datos!AM17))/(Datos!U17+Datos!AM17))," - ")</f>
        <v>0.16483516483516483</v>
      </c>
      <c r="E17" s="515">
        <f>IF(ISNUMBER(
   IF(D_I="SI",(Datos!L17-Datos!V17)/Datos!V17,(Datos!L17+Datos!AF17-(Datos!V17+Datos!AN17))/(Datos!V17+Datos!AN17))
     ),IF(D_I="SI",(Datos!L17-Datos!V17)/Datos!V17,(Datos!L17+Datos!AF17-(Datos!V17+Datos!AN17))/(Datos!V17+Datos!AN17))," - ")</f>
        <v>0.12004950495049505</v>
      </c>
      <c r="F17" s="515">
        <f>IF(ISNUMBER((Datos!M17-Datos!W17)/Datos!W17),(Datos!M17-Datos!W17)/Datos!W17," - ")</f>
        <v>-0.17315175097276264</v>
      </c>
      <c r="G17" s="516">
        <f>IF(ISNUMBER((Datos!N17-Datos!X17)/Datos!X17),(Datos!N17-Datos!X17)/Datos!X17," - ")</f>
        <v>0.29612270984235195</v>
      </c>
      <c r="H17" s="514">
        <f>IF(ISNUMBER(((NºAsuntos!G17/NºAsuntos!E17)-Datos!BD17)/Datos!BD17),((NºAsuntos!G17/NºAsuntos!E17)-Datos!BD17)/Datos!BD17," - ")</f>
        <v>6.3055879286021022E-2</v>
      </c>
      <c r="I17" s="515">
        <f>IF(ISNUMBER(((NºAsuntos!I17/NºAsuntos!G17)-Datos!BE17)/Datos!BE17),((NºAsuntos!I17/NºAsuntos!G17)-Datos!BE17)/Datos!BE17," - ")</f>
        <v>-3.8448066504763623E-2</v>
      </c>
      <c r="J17" s="521">
        <f>IF(ISNUMBER((('Resol  Asuntos'!D17/NºAsuntos!G17)-Datos!BF17)/Datos!BF17),(('Resol  Asuntos'!D17/NºAsuntos!G17)-Datos!BF17)/Datos!BF17," - ")</f>
        <v>-0.29015857866529626</v>
      </c>
      <c r="K17" s="522">
        <f>IF(ISNUMBER((((NºAsuntos!C17+NºAsuntos!E17)/NºAsuntos!G17)-Datos!BG17)/Datos!BG17),(((NºAsuntos!C17+NºAsuntos!E17)/NºAsuntos!G17)-Datos!BG17)/Datos!BG17," - ")</f>
        <v>-0.13426756569047341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0.4174454828660436</v>
      </c>
      <c r="C18" s="515">
        <f>IF(ISNUMBER(
   IF(D_I="SI",(Datos!J18-Datos!T18)/Datos!T18,(Datos!J18+Datos!AD18-(Datos!T18+Datos!AL18))/(Datos!T18+Datos!AL18))
     ),IF(D_I="SI",(Datos!J18-Datos!T18)/Datos!T18,(Datos!J18+Datos!AD18-(Datos!T18+Datos!AL18))/(Datos!T18+Datos!AL18))," - ")</f>
        <v>3.9911308203991129E-2</v>
      </c>
      <c r="D18" s="515">
        <f>IF(ISNUMBER(
   IF(D_I="SI",(Datos!K18-Datos!U18)/Datos!U18,(Datos!K18+Datos!AE18-(Datos!U18+Datos!AM18))/(Datos!U18+Datos!AM18))
     ),IF(D_I="SI",(Datos!K18-Datos!U18)/Datos!U18,(Datos!K18+Datos!AE18-(Datos!U18+Datos!AM18))/(Datos!U18+Datos!AM18))," - ")</f>
        <v>0.39498432601880878</v>
      </c>
      <c r="E18" s="515">
        <f>IF(ISNUMBER(
   IF(D_I="SI",(Datos!L18-Datos!V18)/Datos!V18,(Datos!L18+Datos!AF18-(Datos!V18+Datos!AN18))/(Datos!V18+Datos!AN18))
     ),IF(D_I="SI",(Datos!L18-Datos!V18)/Datos!V18,(Datos!L18+Datos!AF18-(Datos!V18+Datos!AN18))/(Datos!V18+Datos!AN18))," - ")</f>
        <v>5.2747252747252747E-2</v>
      </c>
      <c r="F18" s="515">
        <f>IF(ISNUMBER((Datos!M18-Datos!W18)/Datos!W18),(Datos!M18-Datos!W18)/Datos!W18," - ")</f>
        <v>-0.44827586206896552</v>
      </c>
      <c r="G18" s="516">
        <f>IF(ISNUMBER((Datos!N18-Datos!X18)/Datos!X18),(Datos!N18-Datos!X18)/Datos!X18," - ")</f>
        <v>1.1907894736842106</v>
      </c>
      <c r="H18" s="514">
        <f>IF(ISNUMBER(((NºAsuntos!G18/NºAsuntos!E18)-Datos!BD18)/Datos!BD18),((NºAsuntos!G18/NºAsuntos!E18)-Datos!BD18)/Datos!BD18," - ")</f>
        <v>0.34144548194985674</v>
      </c>
      <c r="I18" s="515">
        <f>IF(ISNUMBER(((NºAsuntos!I18/NºAsuntos!G18)-Datos!BE18)/Datos!BE18),((NºAsuntos!I18/NºAsuntos!G18)-Datos!BE18)/Datos!BE18," - ")</f>
        <v>-0.24533399185084573</v>
      </c>
      <c r="J18" s="521">
        <f>IF(ISNUMBER((('Resol  Asuntos'!D18/NºAsuntos!G18)-Datos!BF18)/Datos!BF18),(('Resol  Asuntos'!D18/NºAsuntos!G18)-Datos!BF18)/Datos!BF18," - ")</f>
        <v>-0.60449438202247185</v>
      </c>
      <c r="K18" s="522">
        <f>IF(ISNUMBER((((NºAsuntos!C18+NºAsuntos!E18)/NºAsuntos!G18)-Datos!BG18)/Datos!BG18),(((NºAsuntos!C18+NºAsuntos!E18)/NºAsuntos!G18)-Datos!BG18)/Datos!BG18," - ")</f>
        <v>-0.14200384234732494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-5.3158705701078585E-2</v>
      </c>
      <c r="C23" s="1152">
        <f>IF(ISNUMBER(
   IF(Criterios!B14="SI",(Datos!J23-Datos!T23)/Datos!T23,(Datos!J23+Datos!AD23-(Datos!T23+Datos!AL23))/(Datos!T23+Datos!AL23))
     ),IF(Criterios!B14="SI",(Datos!J23-Datos!T23)/Datos!T23,(Datos!J23+Datos!AD23-(Datos!T23+Datos!AL23))/(Datos!T23+Datos!AL23))," - ")</f>
        <v>9.038706933219906E-2</v>
      </c>
      <c r="D23" s="1152">
        <f>IF(ISNUMBER(
   IF(Criterios!B14="SI",(Datos!K23-Datos!U23)/Datos!U23,(Datos!K23+Datos!AE23-(Datos!U23+Datos!AM23))/(Datos!U23+Datos!AM23))
     ),IF(Criterios!B14="SI",(Datos!K23-Datos!U23)/Datos!U23,(Datos!K23+Datos!AE23-(Datos!U23+Datos!AM23))/(Datos!U23+Datos!AM23))," - ")</f>
        <v>0.18218336483931946</v>
      </c>
      <c r="E23" s="1152">
        <f>IF(ISNUMBER(
   IF(Criterios!B14="SI",(Datos!L23-Datos!V23)/Datos!V23,(Datos!L23+Datos!AF23-(Datos!V23+Datos!AN23))/(Datos!V23+Datos!AN23))
     ),IF(Criterios!B14="SI",(Datos!L23-Datos!V23)/Datos!V23,(Datos!L23+Datos!AF23-(Datos!V23+Datos!AN23))/(Datos!V23+Datos!AN23))," - ")</f>
        <v>0.11174396528342827</v>
      </c>
      <c r="F23" s="1153">
        <f>IF(ISNUMBER((Datos!M23-Datos!W23)/Datos!W23),(Datos!M23-Datos!W23)/Datos!W23," - ")</f>
        <v>-0.18784530386740331</v>
      </c>
      <c r="G23" s="1154">
        <f>IF(ISNUMBER((Datos!N23-Datos!X23)/Datos!X23),(Datos!N23-Datos!X23)/Datos!X23," - ")</f>
        <v>0.3505402160864346</v>
      </c>
      <c r="H23" s="1154">
        <f>IF(ISNUMBER(((NºAsuntos!G23/NºAsuntos!E23)-Datos!BD23)/Datos!BD23),((NºAsuntos!G23/NºAsuntos!E23)-Datos!BD23)/Datos!BD23," - ")</f>
        <v>8.4186889306510554E-2</v>
      </c>
      <c r="I23" s="1154">
        <f>IF(ISNUMBER(((NºAsuntos!I23/NºAsuntos!G23)-Datos!BE23)/Datos!BE23),((NºAsuntos!I23/NºAsuntos!G23)-Datos!BE23)/Datos!BE23," - ")</f>
        <v>-5.958415728973248E-2</v>
      </c>
      <c r="J23" s="1154">
        <f>IF(ISNUMBER((('Resol  Asuntos'!D23/NºAsuntos!G23)-Datos!BF23)/Datos!BF23),(('Resol  Asuntos'!D23/NºAsuntos!G23)-Datos!BF23)/Datos!BF23," - ")</f>
        <v>-0.31300446251586067</v>
      </c>
      <c r="K23" s="1154">
        <f>IF(ISNUMBER((((NºAsuntos!C23+NºAsuntos!E23)/NºAsuntos!G23)-Datos!BG23)/Datos!BG23),(((NºAsuntos!C23+NºAsuntos!E23)/NºAsuntos!G23)-Datos!BG23)/Datos!BG23," - ")</f>
        <v>-0.13265516725330082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-4.4473590079885536E-2</v>
      </c>
      <c r="C31" s="1092">
        <f>IF(ISNUMBER(
   IF(J_V="SI",(Datos!J31-Datos!T31)/Datos!T31,(Datos!J31+Datos!Z31-(Datos!T31+Datos!AH31))/(Datos!T31+Datos!AH31))
     ),IF(J_V="SI",(Datos!J31-Datos!T31)/Datos!T31,(Datos!J31+Datos!Z31-(Datos!T31+Datos!AH31))/(Datos!T31+Datos!AH31))," - ")</f>
        <v>0.11920677361853832</v>
      </c>
      <c r="D31" s="1092">
        <f>IF(ISNUMBER(
   IF(J_V="SI",(Datos!K31-Datos!U31)/Datos!U31,(Datos!K31+Datos!AA31-(Datos!U31+Datos!AI31))/(Datos!U31+Datos!AI31))
     ),IF(J_V="SI",(Datos!K31-Datos!U31)/Datos!U31,(Datos!K31+Datos!AA31-(Datos!U31+Datos!AI31))/(Datos!U31+Datos!AI31))," - ")</f>
        <v>3.1420289855072461E-2</v>
      </c>
      <c r="E31" s="1092">
        <f>IF(ISNUMBER(
   IF(J_V="SI",(Datos!L31-Datos!V31)/Datos!V31,(Datos!L31+Datos!AB31-(Datos!V31+Datos!AJ31))/(Datos!V31+Datos!AJ31))
     ),IF(J_V="SI",(Datos!L31-Datos!V31)/Datos!V31,(Datos!L31+Datos!AB31-(Datos!V31+Datos!AJ31))/(Datos!V31+Datos!AJ31))," - ")</f>
        <v>0.19066633391564761</v>
      </c>
      <c r="F31" s="1093">
        <f>IF(ISNUMBER((Datos!M31-Datos!W31)/Datos!W31),(Datos!M31-Datos!W31)/Datos!W31," - ")</f>
        <v>7.1953010279001473E-2</v>
      </c>
      <c r="G31" s="1094">
        <f>IF(ISNUMBER((Datos!N31-Datos!X31)/Datos!X31),(Datos!N31-Datos!X31)/Datos!X31," - ")</f>
        <v>0.18164251207729468</v>
      </c>
      <c r="H31" s="1095">
        <f>IF(ISNUMBER((Tasas!B31-Datos!BD31)/Datos!BD31),(Tasas!B31-Datos!BD31)/Datos!BD31," - ")</f>
        <v>-7.843634065905529E-2</v>
      </c>
      <c r="I31" s="1096">
        <f>IF(ISNUMBER((Tasas!C31-Datos!BE31)/Datos!BE31),(Tasas!C31-Datos!BE31)/Datos!BE31," - ")</f>
        <v>0.15439491119856791</v>
      </c>
      <c r="J31" s="1097">
        <f>IF(ISNUMBER((Tasas!D31-Datos!BF31)/Datos!BF31),(Tasas!D31-Datos!BF31)/Datos!BF31," - ")</f>
        <v>-0.35216300643695575</v>
      </c>
      <c r="K31" s="1097">
        <f>IF(ISNUMBER((Tasas!E31-Datos!BG31)/Datos!BG31),(Tasas!E31-Datos!BG31)/Datos!BG31," - ")</f>
        <v>8.4568266598493459E-3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gXcuunl2Zqw5U8ofUwteG+r09Hl7Vrb4FUmm7p24C4e2FHKL8C93+eIJ/ABKP7W2iYvFk8Xy2Ce6wO2sgtjgw==" saltValue="+39pjM2oX9i7x2JUrl70X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VILAFRANCA DEL PENEDES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0.64935064935064934</v>
      </c>
      <c r="C10" s="498">
        <f>IF(ISNUMBER(NºAsuntos!I10/NºAsuntos!G10),NºAsuntos!I10/NºAsuntos!G10," - ")</f>
        <v>2.1</v>
      </c>
      <c r="D10" s="499">
        <f>IF(ISNUMBER('Resol  Asuntos'!D10/NºAsuntos!G10),'Resol  Asuntos'!D10/NºAsuntos!G10," - ")</f>
        <v>0.4</v>
      </c>
      <c r="E10" s="500">
        <f>IF(ISNUMBER((NºAsuntos!C10+NºAsuntos!E10)/NºAsuntos!G10),(NºAsuntos!C10+NºAsuntos!E10)/NºAsuntos!G10," - ")</f>
        <v>3.34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0.79368029739776946</v>
      </c>
      <c r="C12" s="498">
        <f>IF(ISNUMBER(NºAsuntos!I12/NºAsuntos!G12),NºAsuntos!I12/NºAsuntos!G12," - ")</f>
        <v>1.3890189955763725</v>
      </c>
      <c r="D12" s="499">
        <f>IF(ISNUMBER('Resol  Asuntos'!D12/NºAsuntos!G12),'Resol  Asuntos'!D12/NºAsuntos!G12," - ")</f>
        <v>0.25995316159250587</v>
      </c>
      <c r="E12" s="500">
        <f>IF(ISNUMBER((NºAsuntos!C12+NºAsuntos!E12)/NºAsuntos!G12),(NºAsuntos!C12+NºAsuntos!E12)/NºAsuntos!G12," - ")</f>
        <v>2.3624772313296902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0.79142102053262864</v>
      </c>
      <c r="C14" s="1156">
        <f>IF(ISNUMBER(NºAsuntos!I14/NºAsuntos!G14),NºAsuntos!I14/NºAsuntos!G14," - ")</f>
        <v>1.3981505265861802</v>
      </c>
      <c r="D14" s="1157">
        <f>IF(ISNUMBER('Resol  Asuntos'!D14/NºAsuntos!G14),'Resol  Asuntos'!D14/NºAsuntos!G14," - ")</f>
        <v>0.26175186231697917</v>
      </c>
      <c r="E14" s="1158">
        <f>IF(ISNUMBER((NºAsuntos!C14+NºAsuntos!E14)/NºAsuntos!G14),(NºAsuntos!C14+NºAsuntos!E14)/NºAsuntos!G14," - ")</f>
        <v>2.3750321089134343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0.978531558608845</v>
      </c>
      <c r="C17" s="498">
        <f>IF(ISNUMBER(NºAsuntos!I17/NºAsuntos!G17),NºAsuntos!I17/NºAsuntos!G17," - ")</f>
        <v>0.79420798595875386</v>
      </c>
      <c r="D17" s="499">
        <f>IF(ISNUMBER('Resol  Asuntos'!D17/NºAsuntos!G17),'Resol  Asuntos'!D17/NºAsuntos!G17," - ")</f>
        <v>9.3242650285212808E-2</v>
      </c>
      <c r="E17" s="500">
        <f>IF(ISNUMBER((NºAsuntos!C17+NºAsuntos!E17)/NºAsuntos!G17),(NºAsuntos!C17+NºAsuntos!E17)/NºAsuntos!G17," - ")</f>
        <v>1.7310223782360685</v>
      </c>
      <c r="G17" s="523"/>
    </row>
    <row r="18" spans="1:7">
      <c r="A18" s="450" t="str">
        <f>Datos!A18</f>
        <v>Jdos. Violencia contra la mujer</v>
      </c>
      <c r="B18" s="497">
        <f>IF(ISNUMBER(NºAsuntos!G18/NºAsuntos!E18),NºAsuntos!G18/NºAsuntos!E18," - ")</f>
        <v>0.94882729211087424</v>
      </c>
      <c r="C18" s="498">
        <f>IF(ISNUMBER(NºAsuntos!I18/NºAsuntos!G18),NºAsuntos!I18/NºAsuntos!G18," - ")</f>
        <v>1.0764044943820226</v>
      </c>
      <c r="D18" s="499">
        <f>IF(ISNUMBER('Resol  Asuntos'!D18/NºAsuntos!G18),'Resol  Asuntos'!D18/NºAsuntos!G18," - ")</f>
        <v>3.5955056179775284E-2</v>
      </c>
      <c r="E18" s="500">
        <f>IF(ISNUMBER((NºAsuntos!C18+NºAsuntos!E18)/NºAsuntos!G18),(NºAsuntos!C18+NºAsuntos!E18)/NºAsuntos!G18," - ")</f>
        <v>2.0764044943820226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0.97581431636434557</v>
      </c>
      <c r="C23" s="1156">
        <f>IF(ISNUMBER(NºAsuntos!I23/NºAsuntos!G23),NºAsuntos!I23/NºAsuntos!G23," - ")</f>
        <v>0.81930841495102935</v>
      </c>
      <c r="D23" s="1159">
        <f>IF(ISNUMBER('Resol  Asuntos'!D23/NºAsuntos!G23),'Resol  Asuntos'!D23/NºAsuntos!G23," - ")</f>
        <v>8.8147111732960221E-2</v>
      </c>
      <c r="E23" s="1158">
        <f>IF(ISNUMBER((NºAsuntos!C23+NºAsuntos!E23)/NºAsuntos!G23),(NºAsuntos!C23+NºAsuntos!E23)/NºAsuntos!G23," - ")</f>
        <v>1.7617429542274636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0.88552657774238508</v>
      </c>
      <c r="C31" s="1099">
        <f>IF(ISNUMBER(NºAsuntos!I31/NºAsuntos!G31),NºAsuntos!I31/NºAsuntos!G31," - ")</f>
        <v>1.0726169064748201</v>
      </c>
      <c r="D31" s="1100">
        <f>IF(ISNUMBER('Resol  Asuntos'!D31/NºAsuntos!G31),'Resol  Asuntos'!D31/NºAsuntos!G31," - ")</f>
        <v>0.16411870503597123</v>
      </c>
      <c r="E31" s="1101">
        <f>IF(ISNUMBER((NºAsuntos!C31+NºAsuntos!E31)/NºAsuntos!G31),(NºAsuntos!C31+NºAsuntos!E31)/NºAsuntos!G31," - ")</f>
        <v>2.0301258992805757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1qM5UiIi6y9BkKyFuiK5YMZh9mInDWPmzbQ1kdBH342ajOYPoT9RZ1hyq8AAiDknAG2w9bPIwIzn1Sm7uYN1w==" saltValue="0O5rG6G61ZGcnRH66oej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VILAFRANCA DEL PENEDES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78</v>
      </c>
      <c r="G10" s="373">
        <f>IF(ISNUMBER(Datos!I10),Datos!I10," - ")</f>
        <v>90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50</v>
      </c>
      <c r="X10" s="240">
        <f>IF(ISNUMBER(Datos!Q10),Datos!Q10," - ")</f>
        <v>4</v>
      </c>
      <c r="Y10" s="374">
        <f t="shared" ref="Y10:Y13" si="0">SUM(W10:X10)</f>
        <v>54</v>
      </c>
      <c r="Z10" s="375" t="str">
        <f>IF(ISNUMBER(Datos!CC10),Datos!CC10," - ")</f>
        <v xml:space="preserve"> - </v>
      </c>
      <c r="AA10" s="372">
        <f>IF(ISNUMBER(Datos!L10),Datos!L10,"-")</f>
        <v>105</v>
      </c>
      <c r="AB10" s="374">
        <f>IF(ISNUMBER(Datos!R10),Datos!R10," - ")</f>
        <v>77</v>
      </c>
      <c r="AC10" s="374">
        <f t="shared" ref="AC10:AC13" si="1">IF(ISNUMBER(AA10+AB10),AA10+AB10," - ")</f>
        <v>182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20</v>
      </c>
      <c r="AJ10" s="245" t="str">
        <f>IF(ISNUMBER(Datos!BW10),Datos!BW10," - ")</f>
        <v xml:space="preserve"> - </v>
      </c>
      <c r="AK10" s="246" t="str">
        <f>IF(ISNUMBER(Datos!BX10),Datos!BX10," - ")</f>
        <v xml:space="preserve"> - </v>
      </c>
      <c r="AL10" s="266">
        <f>IF(ISNUMBER(NºAsuntos!G10/NºAsuntos!E10),NºAsuntos!G10/NºAsuntos!E10," - ")</f>
        <v>0.64935064935064934</v>
      </c>
      <c r="AM10" s="284">
        <f>IF(ISNUMBER(((NºAsuntos!I10/NºAsuntos!G10)*11)/factor_trimestre),((NºAsuntos!I10/NºAsuntos!G10)*11)/factor_trimestre," - ")</f>
        <v>23.1</v>
      </c>
      <c r="AN10" s="267">
        <f>IF(ISNUMBER('Resol  Asuntos'!D10/NºAsuntos!G10),'Resol  Asuntos'!D10/NºAsuntos!G10," - ")</f>
        <v>0.4</v>
      </c>
      <c r="AO10" s="268">
        <f>IF(ISNUMBER((NºAsuntos!C10+NºAsuntos!E10)/NºAsuntos!G10),(NºAsuntos!C10+NºAsuntos!E10)/NºAsuntos!G10," - ")</f>
        <v>3.34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892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617</v>
      </c>
      <c r="Y12" s="374">
        <f t="shared" si="0"/>
        <v>617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7361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999</v>
      </c>
      <c r="AJ12" s="243" t="str">
        <f>IF(ISNUMBER(Datos!BW12),Datos!BW12," - ")</f>
        <v xml:space="preserve"> - </v>
      </c>
      <c r="AK12" s="242" t="str">
        <f>IF(ISNUMBER(Datos!BX12),Datos!BX12," - ")</f>
        <v xml:space="preserve"> - </v>
      </c>
      <c r="AL12" s="266">
        <f>IF(ISNUMBER(NºAsuntos!G12/NºAsuntos!E12),NºAsuntos!G12/NºAsuntos!E12," - ")</f>
        <v>0.79368029739776946</v>
      </c>
      <c r="AM12" s="284">
        <f>IF(ISNUMBER(((NºAsuntos!I12/NºAsuntos!G12)*11)/factor_trimestre),((NºAsuntos!I12/NºAsuntos!G12)*11)/factor_trimestre," - ")</f>
        <v>15.279208951340099</v>
      </c>
      <c r="AN12" s="267">
        <f>IF(ISNUMBER('Resol  Asuntos'!D12/NºAsuntos!G12),'Resol  Asuntos'!D12/NºAsuntos!G12," - ")</f>
        <v>0.25995316159250587</v>
      </c>
      <c r="AO12" s="268">
        <f>IF(ISNUMBER((NºAsuntos!C12+NºAsuntos!E12)/NºAsuntos!G12),(NºAsuntos!C12+NºAsuntos!E12)/NºAsuntos!G12," - ")</f>
        <v>2.3624772313296902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78</v>
      </c>
      <c r="G14" s="1163">
        <f t="shared" si="5"/>
        <v>90</v>
      </c>
      <c r="H14" s="1162">
        <f t="shared" si="5"/>
        <v>0</v>
      </c>
      <c r="I14" s="1164">
        <f t="shared" si="5"/>
        <v>0</v>
      </c>
      <c r="J14" s="1164">
        <f t="shared" si="5"/>
        <v>0</v>
      </c>
      <c r="K14" s="1164">
        <f t="shared" si="5"/>
        <v>0</v>
      </c>
      <c r="L14" s="1164">
        <f t="shared" si="5"/>
        <v>896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50</v>
      </c>
      <c r="X14" s="1164">
        <f t="shared" si="6"/>
        <v>621</v>
      </c>
      <c r="Y14" s="1165">
        <f t="shared" si="6"/>
        <v>671</v>
      </c>
      <c r="Z14" s="1165">
        <f t="shared" si="6"/>
        <v>0</v>
      </c>
      <c r="AA14" s="1165">
        <f t="shared" si="6"/>
        <v>105</v>
      </c>
      <c r="AB14" s="1165">
        <f t="shared" si="6"/>
        <v>7438</v>
      </c>
      <c r="AC14" s="1165">
        <f t="shared" si="6"/>
        <v>182</v>
      </c>
      <c r="AD14" s="1165">
        <f t="shared" si="6"/>
        <v>0</v>
      </c>
      <c r="AE14" s="1169">
        <f t="shared" si="6"/>
        <v>0</v>
      </c>
      <c r="AF14" s="1162">
        <f t="shared" si="6"/>
        <v>0</v>
      </c>
      <c r="AG14" s="1170">
        <f t="shared" si="6"/>
        <v>0</v>
      </c>
      <c r="AH14" s="1167">
        <f t="shared" si="6"/>
        <v>0</v>
      </c>
      <c r="AI14" s="1162">
        <f t="shared" si="6"/>
        <v>1019</v>
      </c>
      <c r="AJ14" s="1164">
        <f t="shared" si="6"/>
        <v>0</v>
      </c>
      <c r="AK14" s="1167">
        <f>SUBTOTAL(9,AK9:AK13)</f>
        <v>0</v>
      </c>
      <c r="AL14" s="1171">
        <f>IF(ISNUMBER(NºAsuntos!G14/NºAsuntos!E14),NºAsuntos!G14/NºAsuntos!E14," - ")</f>
        <v>0.79142102053262864</v>
      </c>
      <c r="AM14" s="1171">
        <f>IF(ISNUMBER(((NºAsuntos!I14/NºAsuntos!G14)*11)/factor_trimestre),((NºAsuntos!I14/NºAsuntos!G14)*11)/factor_trimestre," - ")</f>
        <v>15.379655792447982</v>
      </c>
      <c r="AN14" s="1172">
        <f>IF(ISNUMBER('Resol  Asuntos'!D14/NºAsuntos!G14),'Resol  Asuntos'!D14/NºAsuntos!G14," - ")</f>
        <v>0.26175186231697917</v>
      </c>
      <c r="AO14" s="1173">
        <f>IF(ISNUMBER((NºAsuntos!C14+NºAsuntos!E14)/NºAsuntos!G14),(NºAsuntos!C14+NºAsuntos!E14)/NºAsuntos!G14," - ")</f>
        <v>2.3750321089134343</v>
      </c>
      <c r="AP14" s="1174" t="str">
        <f t="shared" si="2"/>
        <v xml:space="preserve"> - </v>
      </c>
      <c r="AQ14" s="1174">
        <f>IF(ISNUMBER((H14-W14+K14)/(F14)),(H14-W14+K14)/(F14)," - ")</f>
        <v>-0.64102564102564108</v>
      </c>
      <c r="AR14" s="1175">
        <f>IF(ISNUMBER((Datos!P14-Datos!Q14)/(Datos!R14-Datos!P14+Datos!Q14)),(Datos!P14-Datos!Q14)/(Datos!R14-Datos!P14+Datos!Q14)," - ")</f>
        <v>3.8391735306435852E-2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3520</v>
      </c>
      <c r="G17" s="373">
        <f>IF(ISNUMBER(IF(D_I="SI",Datos!I17,Datos!I17+Datos!AC17)),IF(D_I="SI",Datos!I17,Datos!I17+Datos!AC17)," - ")</f>
        <v>3232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4558</v>
      </c>
      <c r="X17" s="240">
        <f>IF(ISNUMBER(Datos!Q17),Datos!Q17," - ")</f>
        <v>71</v>
      </c>
      <c r="Y17" s="374">
        <f t="shared" ref="Y17:Y22" si="9">SUM(W17:X17)</f>
        <v>4629</v>
      </c>
      <c r="Z17" s="375" t="str">
        <f>IF(ISNUMBER(Datos!CC17),Datos!CC17," - ")</f>
        <v xml:space="preserve"> - </v>
      </c>
      <c r="AA17" s="372">
        <f>IF(ISNUMBER(IF(D_I="SI",Datos!L17,Datos!L17+Datos!AF17)),IF(D_I="SI",Datos!L17,Datos!L17+Datos!AF17)," - ")</f>
        <v>3620</v>
      </c>
      <c r="AB17" s="374">
        <f>IF(ISNUMBER(Datos!R17),Datos!R17," - ")</f>
        <v>196</v>
      </c>
      <c r="AC17" s="374">
        <f t="shared" si="8"/>
        <v>3816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425</v>
      </c>
      <c r="AJ17" s="245" t="str">
        <f>IF(ISNUMBER(Datos!BW17),Datos!BW17," - ")</f>
        <v xml:space="preserve"> - </v>
      </c>
      <c r="AK17" s="246" t="str">
        <f>IF(ISNUMBER(Datos!BX17),Datos!BX17," - ")</f>
        <v xml:space="preserve"> - </v>
      </c>
      <c r="AL17" s="266">
        <f>IF(ISNUMBER(NºAsuntos!G17/NºAsuntos!E17),NºAsuntos!G17/NºAsuntos!E17," - ")</f>
        <v>0.978531558608845</v>
      </c>
      <c r="AM17" s="284">
        <f>IF(ISNUMBER(((NºAsuntos!I17/NºAsuntos!G17)*11)/factor_trimestre),((NºAsuntos!I17/NºAsuntos!G17)*11)/factor_trimestre," - ")</f>
        <v>8.7362878455462933</v>
      </c>
      <c r="AN17" s="267">
        <f>IF(ISNUMBER('Resol  Asuntos'!D17/NºAsuntos!G17),'Resol  Asuntos'!D17/NºAsuntos!G17," - ")</f>
        <v>9.3242650285212808E-2</v>
      </c>
      <c r="AO17" s="268">
        <f>IF(ISNUMBER((NºAsuntos!C17+NºAsuntos!E17)/NºAsuntos!G17),(NºAsuntos!C17+NºAsuntos!E17)/NºAsuntos!G17," - ")</f>
        <v>1.7310223782360685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445</v>
      </c>
      <c r="X18" s="240">
        <f>IF(ISNUMBER(Datos!Q18),Datos!Q18," - ")</f>
        <v>3</v>
      </c>
      <c r="Y18" s="374">
        <f t="shared" si="9"/>
        <v>448</v>
      </c>
      <c r="Z18" s="375" t="str">
        <f>IF(ISNUMBER(Datos!CC18),Datos!CC18," - ")</f>
        <v xml:space="preserve"> - </v>
      </c>
      <c r="AA18" s="372">
        <f>IF(ISNUMBER(Datos!L18),Datos!L18,"-")</f>
        <v>479</v>
      </c>
      <c r="AB18" s="374">
        <f>IF(ISNUMBER(Datos!R18),Datos!R18," - ")</f>
        <v>9</v>
      </c>
      <c r="AC18" s="374">
        <f t="shared" si="8"/>
        <v>488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0.94882729211087424</v>
      </c>
      <c r="AM18" s="284">
        <f>IF(ISNUMBER(((NºAsuntos!I18/NºAsuntos!G18)*11)/factor_trimestre),((NºAsuntos!I18/NºAsuntos!G18)*11)/factor_trimestre," - ")</f>
        <v>11.840449438202249</v>
      </c>
      <c r="AN18" s="267">
        <f>IF(ISNUMBER('Resol  Asuntos'!D18/NºAsuntos!G18),'Resol  Asuntos'!D18/NºAsuntos!G18," - ")</f>
        <v>3.5955056179775284E-2</v>
      </c>
      <c r="AO18" s="268">
        <f>IF(ISNUMBER((NºAsuntos!C18+NºAsuntos!E18)/NºAsuntos!G18),(NºAsuntos!C18+NºAsuntos!E18)/NºAsuntos!G18," - ")</f>
        <v>2.0764044943820226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3520</v>
      </c>
      <c r="G23" s="1163">
        <f>SUBTOTAL(9,G16:G22)</f>
        <v>3687</v>
      </c>
      <c r="H23" s="1162">
        <f t="shared" ref="H23:O23" si="13">SUBTOTAL(9,H15:H22)</f>
        <v>0</v>
      </c>
      <c r="I23" s="1164">
        <f t="shared" si="13"/>
        <v>0</v>
      </c>
      <c r="J23" s="1164">
        <f t="shared" si="13"/>
        <v>0</v>
      </c>
      <c r="K23" s="1164">
        <f t="shared" si="13"/>
        <v>0</v>
      </c>
      <c r="L23" s="1164">
        <f t="shared" si="13"/>
        <v>95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5003</v>
      </c>
      <c r="X23" s="1164">
        <f t="shared" si="14"/>
        <v>74</v>
      </c>
      <c r="Y23" s="1165">
        <f t="shared" si="14"/>
        <v>5077</v>
      </c>
      <c r="Z23" s="1165">
        <f t="shared" si="14"/>
        <v>0</v>
      </c>
      <c r="AA23" s="1165">
        <f t="shared" si="14"/>
        <v>4099</v>
      </c>
      <c r="AB23" s="1165">
        <f t="shared" si="14"/>
        <v>205</v>
      </c>
      <c r="AC23" s="1165">
        <f t="shared" si="14"/>
        <v>4304</v>
      </c>
      <c r="AD23" s="1165">
        <f t="shared" si="14"/>
        <v>0</v>
      </c>
      <c r="AE23" s="1169">
        <f t="shared" si="14"/>
        <v>0</v>
      </c>
      <c r="AF23" s="1162">
        <f t="shared" si="14"/>
        <v>0</v>
      </c>
      <c r="AG23" s="1170">
        <f t="shared" si="14"/>
        <v>0</v>
      </c>
      <c r="AH23" s="1167">
        <f t="shared" si="14"/>
        <v>0</v>
      </c>
      <c r="AI23" s="1162">
        <f t="shared" si="14"/>
        <v>441</v>
      </c>
      <c r="AJ23" s="1164">
        <f t="shared" si="14"/>
        <v>0</v>
      </c>
      <c r="AK23" s="1167">
        <f t="shared" si="14"/>
        <v>0</v>
      </c>
      <c r="AL23" s="1171">
        <f>IF(ISNUMBER(NºAsuntos!G23/NºAsuntos!E23),NºAsuntos!G23/NºAsuntos!E23," - ")</f>
        <v>0.97581431636434557</v>
      </c>
      <c r="AM23" s="1171">
        <f>IF(ISNUMBER(((NºAsuntos!I23/NºAsuntos!G23)*11)/factor_trimestre),((NºAsuntos!I23/NºAsuntos!G23)*11)/factor_trimestre," - ")</f>
        <v>9.0123925644613223</v>
      </c>
      <c r="AN23" s="1172">
        <f>IF(ISNUMBER('Resol  Asuntos'!D23/NºAsuntos!G23),'Resol  Asuntos'!D23/NºAsuntos!G23," - ")</f>
        <v>8.8147111732960221E-2</v>
      </c>
      <c r="AO23" s="1173">
        <f>IF(ISNUMBER((NºAsuntos!C23+NºAsuntos!E23)/NºAsuntos!G23),(NºAsuntos!C23+NºAsuntos!E23)/NºAsuntos!G23," - ")</f>
        <v>1.7617429542274636</v>
      </c>
      <c r="AP23" s="1174" t="str">
        <f t="shared" si="2"/>
        <v xml:space="preserve"> - </v>
      </c>
      <c r="AQ23" s="1174">
        <f>IF(ISNUMBER((H23-W23+K23)/(F23)),(H23-W23+K23)/(F23)," - ")</f>
        <v>-1.4213068181818183</v>
      </c>
      <c r="AR23" s="1175">
        <f>IF(ISNUMBER((Datos!P23-Datos!Q23)/(Datos!R23-Datos!P23+Datos!Q23)),(Datos!P23-Datos!Q23)/(Datos!R23-Datos!P23+Datos!Q23)," - ")</f>
        <v>0.11413043478260869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3598</v>
      </c>
      <c r="G31" s="1118">
        <f t="shared" si="20"/>
        <v>3777</v>
      </c>
      <c r="H31" s="1117">
        <f t="shared" si="20"/>
        <v>0</v>
      </c>
      <c r="I31" s="1119">
        <f t="shared" si="20"/>
        <v>0</v>
      </c>
      <c r="J31" s="1119">
        <f t="shared" si="20"/>
        <v>0</v>
      </c>
      <c r="K31" s="1180">
        <f t="shared" si="20"/>
        <v>0</v>
      </c>
      <c r="L31" s="1119">
        <f t="shared" si="20"/>
        <v>991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5053</v>
      </c>
      <c r="X31" s="1118">
        <f t="shared" si="21"/>
        <v>695</v>
      </c>
      <c r="Y31" s="1125">
        <f t="shared" si="21"/>
        <v>5748</v>
      </c>
      <c r="Z31" s="1125">
        <f t="shared" si="21"/>
        <v>0</v>
      </c>
      <c r="AA31" s="1125">
        <f t="shared" si="21"/>
        <v>4204</v>
      </c>
      <c r="AB31" s="1125">
        <f t="shared" si="21"/>
        <v>7643</v>
      </c>
      <c r="AC31" s="1125">
        <f t="shared" si="21"/>
        <v>4486</v>
      </c>
      <c r="AD31" s="1125">
        <f t="shared" si="21"/>
        <v>0</v>
      </c>
      <c r="AE31" s="1127">
        <f t="shared" si="21"/>
        <v>0</v>
      </c>
      <c r="AF31" s="1128">
        <f t="shared" si="21"/>
        <v>0</v>
      </c>
      <c r="AG31" s="1129">
        <f t="shared" si="21"/>
        <v>0</v>
      </c>
      <c r="AH31" s="1127">
        <f t="shared" si="21"/>
        <v>0</v>
      </c>
      <c r="AI31" s="1117">
        <f t="shared" si="21"/>
        <v>1460</v>
      </c>
      <c r="AJ31" s="1117">
        <f t="shared" si="21"/>
        <v>0</v>
      </c>
      <c r="AK31" s="1127">
        <f t="shared" si="21"/>
        <v>0</v>
      </c>
      <c r="AL31" s="1183">
        <f>IF(ISNUMBER(NºAsuntos!G31/NºAsuntos!E31),NºAsuntos!G31/NºAsuntos!E31," - ")</f>
        <v>0.88552657774238508</v>
      </c>
      <c r="AM31" s="1184">
        <f>IF(ISNUMBER(((NºAsuntos!I31/NºAsuntos!G31)*11)/factor_trimestre),((NºAsuntos!I31/NºAsuntos!G31)*11)/factor_trimestre," - ")</f>
        <v>11.798785971223021</v>
      </c>
      <c r="AN31" s="1184">
        <f>IF(ISNUMBER('Resol  Asuntos'!D31/NºAsuntos!G31),'Resol  Asuntos'!D31/NºAsuntos!G31," - ")</f>
        <v>0.16411870503597123</v>
      </c>
      <c r="AO31" s="1185">
        <f>IF(ISNUMBER((NºAsuntos!C31+NºAsuntos!E31)/NºAsuntos!G31),(NºAsuntos!C31+NºAsuntos!E31)/NºAsuntos!G31," - ")</f>
        <v>2.0301258992805757</v>
      </c>
      <c r="AP31" s="1186" t="str">
        <f t="shared" si="2"/>
        <v xml:space="preserve"> - </v>
      </c>
      <c r="AQ31" s="1187">
        <f>IF(OR(ISNUMBER(FIND("01",Criterios!A8,1)),ISNUMBER(FIND("02",Criterios!A8,1)),ISNUMBER(FIND("03",Criterios!A8,1)),ISNUMBER(FIND("04",Criterios!A8,1))),(I31-W31+K31)/(F31-K31),(H31-W31+K31)/(F31-K31))</f>
        <v>-1.404391328515842</v>
      </c>
      <c r="AR31" s="1188">
        <f>IF(ISNUMBER((Datos!P31-Datos!Q31)/(Datos!R31-Datos!P31+Datos!Q31)),(Datos!P31-Datos!Q31)/(Datos!R31-Datos!P31+Datos!Q31)," - ")</f>
        <v>4.0288553150945962E-2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1079.1428571428571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1797.9190934707453</v>
      </c>
      <c r="G33" s="277">
        <f>IF(ISNUMBER(STDEV(G8:G30)),STDEV(G8:G30),"-")</f>
        <v>1638.6566071604129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2288.3116566794911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438.55672381118501</v>
      </c>
      <c r="AJ33" s="276">
        <f t="shared" si="25"/>
        <v>0</v>
      </c>
      <c r="AK33" s="278">
        <f t="shared" si="25"/>
        <v>0</v>
      </c>
      <c r="AL33" s="273">
        <f t="shared" si="25"/>
        <v>0.13322466985504591</v>
      </c>
      <c r="AM33" s="274">
        <f t="shared" si="25"/>
        <v>5.3577145502491694</v>
      </c>
      <c r="AN33" s="274">
        <f t="shared" si="25"/>
        <v>0.13971933608832804</v>
      </c>
      <c r="AO33" s="275">
        <f t="shared" si="25"/>
        <v>0.59172062220155985</v>
      </c>
      <c r="AP33" s="317" t="str">
        <f t="shared" si="25"/>
        <v>-</v>
      </c>
      <c r="AQ33" s="318">
        <f t="shared" si="25"/>
        <v>0.55174211159935516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qc8XtgnrKQRPWPA0phxv4JFbO/WiR8t8UwWLfFFQp12lnXS6gbYq8UevW87+vsWF0wLeAK4ZWwNJvkuQXVJh9w==" saltValue="2WGMisFzX5L3/lXzIXx/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VILAFRANCA DEL PENEDES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7.1428571428571425E-2</v>
      </c>
      <c r="E10" s="393">
        <f>IF(ISNUMBER((Datos!J10-Datos!T10)/Datos!T10),(Datos!J10-Datos!T10)/Datos!T10," - ")</f>
        <v>-2.5316455696202531E-2</v>
      </c>
      <c r="F10" s="393">
        <f>IF(ISNUMBER((Datos!K10-Datos!U10)/Datos!U10),(Datos!K10-Datos!U10)/Datos!U10," - ")</f>
        <v>-0.31506849315068491</v>
      </c>
      <c r="G10" s="394">
        <f>IF(ISNUMBER((Datos!L10-Datos!V10)/Datos!V10),(Datos!L10-Datos!V10)/Datos!V10," - ")</f>
        <v>0.16666666666666666</v>
      </c>
      <c r="H10" s="244">
        <f>IF(ISNUMBER((Datos!M10-Datos!W10)/Datos!W10),(Datos!M10-Datos!W10)/Datos!W10," - ")</f>
        <v>-0.31034482758620691</v>
      </c>
      <c r="I10" s="395">
        <f>IF(ISNUMBER((Tasas!C10-Datos!BE10)/Datos!BE10),(Tasas!C10-Datos!BE10)/Datos!BE10," - ")</f>
        <v>0.70333333333333337</v>
      </c>
      <c r="J10" s="394">
        <f>IF(ISNUMBER((Tasas!D10-Datos!BF10)/Datos!BF10),(Tasas!D10-Datos!BF10)/Datos!BF10," - ")</f>
        <v>6.8965517241380428E-3</v>
      </c>
      <c r="K10" s="396">
        <f>IF(ISNUMBER((Tasas!E10-Datos!BG10)/Datos!BG10),(Tasas!E10-Datos!BG10)/Datos!BG10," - ")</f>
        <v>0.49582822085889561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0.26455696202531648</v>
      </c>
      <c r="I12" s="395">
        <f>IF(ISNUMBER((Tasas!C12-Datos!BE12)/Datos!BE12),(Tasas!C12-Datos!BE12)/Datos!BE12," - ")</f>
        <v>0.41622894993861909</v>
      </c>
      <c r="J12" s="394">
        <f>IF(ISNUMBER((Tasas!D12-Datos!BF12)/Datos!BF12),(Tasas!D12-Datos!BF12)/Datos!BF12," - ")</f>
        <v>-0.30378322499713245</v>
      </c>
      <c r="K12" s="396">
        <f>IF(ISNUMBER((Tasas!E12-Datos!BG12)/Datos!BG12),(Tasas!E12-Datos!BG12)/Datos!BG12," - ")</f>
        <v>0.18618103665089047</v>
      </c>
      <c r="M12" t="e">
        <f>IF(Monitorios="SI",Datos!CE12,0)</f>
        <v>#REF!</v>
      </c>
      <c r="N12" t="e">
        <f>IF(Monitorios="SI",Datos!CF12,0)</f>
        <v>#REF!</v>
      </c>
      <c r="O12" t="e">
        <f>IF(Monitorios="SI",Datos!CG12,0)</f>
        <v>#REF!</v>
      </c>
      <c r="P12" t="e">
        <f>IF(Monitorios="SI",Datos!CH12,0)</f>
        <v>#REF!</v>
      </c>
      <c r="Q12">
        <f>IF(J_V="SI",0,Datos!AG12)</f>
        <v>116</v>
      </c>
      <c r="R12">
        <f>IF(J_V="SI",0,Datos!AH12)</f>
        <v>228</v>
      </c>
      <c r="S12">
        <f>IF(J_V="SI",0,Datos!AI12)</f>
        <v>208</v>
      </c>
      <c r="T12">
        <f>IF(J_V="SI",0,Datos!AJ12)</f>
        <v>109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0.24420024420024419</v>
      </c>
      <c r="I14" s="402">
        <f>IF(ISNUMBER((Tasas!C14-Datos!BE14)/Datos!BE14),(Tasas!C14-Datos!BE14)/Datos!BE14," - ")</f>
        <v>0.41947660348811877</v>
      </c>
      <c r="J14" s="400">
        <f>IF(ISNUMBER((Tasas!D14-Datos!BF14)/Datos!BF14),(Tasas!D14-Datos!BF14)/Datos!BF14," - ")</f>
        <v>-0.29971015154781394</v>
      </c>
      <c r="K14" s="403">
        <f>IF(ISNUMBER((Tasas!E14-Datos!BG14)/Datos!BG14),(Tasas!E14-Datos!BG14)/Datos!BG14," - ")</f>
        <v>0.19008966059732146</v>
      </c>
      <c r="M14" t="e">
        <f>IF(Monitorios="SI",Datos!CE14,0)</f>
        <v>#REF!</v>
      </c>
      <c r="N14" t="e">
        <f>IF(Monitorios="SI",Datos!CF14,0)</f>
        <v>#REF!</v>
      </c>
      <c r="O14" t="e">
        <f>IF(Monitorios="SI",Datos!CG14,0)</f>
        <v>#REF!</v>
      </c>
      <c r="P14" t="e">
        <f>IF(Monitorios="SI",Datos!CH14,0)</f>
        <v>#REF!</v>
      </c>
      <c r="Q14">
        <f>IF(J_V="SI",0,Datos!AG14)</f>
        <v>116</v>
      </c>
      <c r="R14">
        <f>IF(J_V="SI",0,Datos!AH14)</f>
        <v>228</v>
      </c>
      <c r="S14">
        <f>IF(J_V="SI",0,Datos!AI14)</f>
        <v>208</v>
      </c>
      <c r="T14">
        <f>IF(J_V="SI",0,Datos!AJ14)</f>
        <v>109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-9.5438007276798215E-2</v>
      </c>
      <c r="E17" s="393">
        <f>IF(ISNUMBER(
   IF(D_I="SI",(Datos!J17-Datos!T17)/Datos!T17,(Datos!J17+Datos!AD17-(Datos!T17+Datos!AL17))/(Datos!T17+Datos!AL17))
     ),IF(D_I="SI",(Datos!J17-Datos!T17)/Datos!T17,(Datos!J17+Datos!AD17-(Datos!T17+Datos!AL17))/(Datos!T17+Datos!AL17))," - ")</f>
        <v>9.5742178310985651E-2</v>
      </c>
      <c r="F17" s="393">
        <f>IF(ISNUMBER(
   IF(D_I="SI",(Datos!K17-Datos!U17)/Datos!U17,(Datos!K17+Datos!AE17-(Datos!U17+Datos!AM17))/(Datos!U17+Datos!AM17))
     ),IF(D_I="SI",(Datos!K17-Datos!U17)/Datos!U17,(Datos!K17+Datos!AE17-(Datos!U17+Datos!AM17))/(Datos!U17+Datos!AM17))," - ")</f>
        <v>0.16483516483516483</v>
      </c>
      <c r="G17" s="394">
        <f>IF(ISNUMBER(
   IF(D_I="SI",(Datos!L17-Datos!V17)/Datos!V17,(Datos!L17+Datos!AF17-(Datos!V17+Datos!AN17))/(Datos!V17+Datos!AN17))
     ),IF(D_I="SI",(Datos!L17-Datos!V17)/Datos!V17,(Datos!L17+Datos!AF17-(Datos!V17+Datos!AN17))/(Datos!V17+Datos!AN17))," - ")</f>
        <v>0.12004950495049505</v>
      </c>
      <c r="H17" s="244">
        <f>IF(ISNUMBER((Datos!M17-Datos!W17)/Datos!W17),(Datos!M17-Datos!W17)/Datos!W17," - ")</f>
        <v>-0.17315175097276264</v>
      </c>
      <c r="I17" s="395">
        <f>IF(ISNUMBER((Tasas!C17-Datos!BE17)/Datos!BE17),(Tasas!C17-Datos!BE17)/Datos!BE17," - ")</f>
        <v>-3.8448066504763623E-2</v>
      </c>
      <c r="J17" s="394">
        <f>IF(ISNUMBER((Tasas!D17-Datos!BF17)/Datos!BF17),(Tasas!D17-Datos!BF17)/Datos!BF17," - ")</f>
        <v>-0.29015857866529626</v>
      </c>
      <c r="K17" s="396">
        <f>IF(ISNUMBER((Tasas!E17-Datos!BG17)/Datos!BG17),(Tasas!E17-Datos!BG17)/Datos!BG17," - ")</f>
        <v>-0.13426756569047341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0.4174454828660436</v>
      </c>
      <c r="E18" s="393">
        <f>IF(ISNUMBER(
   IF(D_I="SI",(Datos!J18-Datos!T18)/Datos!T18,(Datos!J18+Datos!AD18-(Datos!T18+Datos!AL18))/(Datos!T18+Datos!AL18))
     ),IF(D_I="SI",(Datos!J18-Datos!T18)/Datos!T18,(Datos!J18+Datos!AD18-(Datos!T18+Datos!AL18))/(Datos!T18+Datos!AL18))," - ")</f>
        <v>3.9911308203991129E-2</v>
      </c>
      <c r="F18" s="393">
        <f>IF(ISNUMBER(
   IF(D_I="SI",(Datos!K18-Datos!U18)/Datos!U18,(Datos!K18+Datos!AE18-(Datos!U18+Datos!AM18))/(Datos!U18+Datos!AM18))
     ),IF(D_I="SI",(Datos!K18-Datos!U18)/Datos!U18,(Datos!K18+Datos!AE18-(Datos!U18+Datos!AM18))/(Datos!U18+Datos!AM18))," - ")</f>
        <v>0.39498432601880878</v>
      </c>
      <c r="G18" s="394">
        <f>IF(ISNUMBER(
   IF(D_I="SI",(Datos!L18-Datos!V18)/Datos!V18,(Datos!L18+Datos!AF18-(Datos!V18+Datos!AN18))/(Datos!V18+Datos!AN18))
     ),IF(D_I="SI",(Datos!L18-Datos!V18)/Datos!V18,(Datos!L18+Datos!AF18-(Datos!V18+Datos!AN18))/(Datos!V18+Datos!AN18))," - ")</f>
        <v>5.2747252747252747E-2</v>
      </c>
      <c r="H18" s="244">
        <f>IF(ISNUMBER((Datos!M18-Datos!W18)/Datos!W18),(Datos!M18-Datos!W18)/Datos!W18," - ")</f>
        <v>-0.44827586206896552</v>
      </c>
      <c r="I18" s="395">
        <f>IF(ISNUMBER((Tasas!C18-Datos!BE18)/Datos!BE18),(Tasas!C18-Datos!BE18)/Datos!BE18," - ")</f>
        <v>-0.24533399185084573</v>
      </c>
      <c r="J18" s="394">
        <f>IF(ISNUMBER((Tasas!D18-Datos!BF18)/Datos!BF18),(Tasas!D18-Datos!BF18)/Datos!BF18," - ")</f>
        <v>-0.60449438202247185</v>
      </c>
      <c r="K18" s="396">
        <f>IF(ISNUMBER((Tasas!E18-Datos!BG18)/Datos!BG18),(Tasas!E18-Datos!BG18)/Datos!BG18," - ")</f>
        <v>-0.14200384234732494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-5.3158705701078585E-2</v>
      </c>
      <c r="E23" s="399">
        <f>IF(ISNUMBER(
   IF(D_I="SI",(Datos!J23-Datos!T23)/Datos!T23,(Datos!J23+Datos!AD23-(Datos!T23+Datos!AL23))/(Datos!T23+Datos!AL23))
     ),IF(D_I="SI",(Datos!J23-Datos!T23)/Datos!T23,(Datos!J23+Datos!AD23-(Datos!T23+Datos!AL23))/(Datos!T23+Datos!AL23))," - ")</f>
        <v>9.038706933219906E-2</v>
      </c>
      <c r="F23" s="399">
        <f>IF(ISNUMBER(
   IF(D_I="SI",(Datos!K23-Datos!U23)/Datos!U23,(Datos!K23+Datos!AE23-(Datos!U23+Datos!AM23))/(Datos!U23+Datos!AM23))
     ),IF(D_I="SI",(Datos!K23-Datos!U23)/Datos!U23,(Datos!K23+Datos!AE23-(Datos!U23+Datos!AM23))/(Datos!U23+Datos!AM23))," - ")</f>
        <v>0.18218336483931946</v>
      </c>
      <c r="G23" s="400">
        <f>IF(ISNUMBER(
   IF(D_I="SI",(Datos!L23-Datos!V23)/Datos!V23,(Datos!L23+Datos!AF23-(Datos!V23+Datos!AN23))/(Datos!V23+Datos!AN23))
     ),IF(D_I="SI",(Datos!L23-Datos!V23)/Datos!V23,(Datos!L23+Datos!AF23-(Datos!V23+Datos!AN23))/(Datos!V23+Datos!AN23))," - ")</f>
        <v>0.11174396528342827</v>
      </c>
      <c r="H23" s="401">
        <f>IF(ISNUMBER((Datos!M23-Datos!W23)/Datos!W23),(Datos!M23-Datos!W23)/Datos!W23," - ")</f>
        <v>-0.18784530386740331</v>
      </c>
      <c r="I23" s="402">
        <f>IF(ISNUMBER((Tasas!C23-Datos!BE23)/Datos!BE23),(Tasas!C23-Datos!BE23)/Datos!BE23," - ")</f>
        <v>-5.958415728973248E-2</v>
      </c>
      <c r="J23" s="400">
        <f>IF(ISNUMBER((Tasas!D23-Datos!BF23)/Datos!BF23),(Tasas!D23-Datos!BF23)/Datos!BF23," - ")</f>
        <v>-0.31300446251586067</v>
      </c>
      <c r="K23" s="403">
        <f>IF(ISNUMBER((Tasas!E23-Datos!BG23)/Datos!BG23),(Tasas!E23-Datos!BG23)/Datos!BG23," - ")</f>
        <v>-0.13265516725330082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-4.4473590079885536E-2</v>
      </c>
      <c r="E31" s="409">
        <f>IF(ISNUMBER(
   IF(J_V="SI",(Datos!J31-Datos!T31)/Datos!T31,(Datos!J31+Datos!Z31-(Datos!T31+Datos!AH31))/(Datos!T31+Datos!AH31))
     ),IF(J_V="SI",(Datos!J31-Datos!T31)/Datos!T31,(Datos!J31+Datos!Z31-(Datos!T31+Datos!AH31))/(Datos!T31+Datos!AH31))," - ")</f>
        <v>0.11920677361853832</v>
      </c>
      <c r="F31" s="409">
        <f>IF(ISNUMBER(
   IF(J_V="SI",(Datos!K31-Datos!U31)/Datos!U31,(Datos!K31+Datos!AA31-(Datos!U31+Datos!AI31))/(Datos!U31+Datos!AI31))
     ),IF(J_V="SI",(Datos!K31-Datos!U31)/Datos!U31,(Datos!K31+Datos!AA31-(Datos!U31+Datos!AI31))/(Datos!U31+Datos!AI31))," - ")</f>
        <v>3.1420289855072461E-2</v>
      </c>
      <c r="G31" s="410">
        <f>IF(ISNUMBER(
   IF(J_V="SI",(Datos!L31-Datos!V31)/Datos!V31,(Datos!L31+Datos!AB31-(Datos!V31+Datos!AJ31))/(Datos!V31+Datos!AJ31))
     ),IF(J_V="SI",(Datos!L31-Datos!V31)/Datos!V31,(Datos!L31+Datos!AB31-(Datos!V31+Datos!AJ31))/(Datos!V31+Datos!AJ31))," - ")</f>
        <v>0.19066633391564761</v>
      </c>
      <c r="H31" s="411">
        <f>IF(ISNUMBER((Datos!M31-Datos!W31)/Datos!W31),(Datos!M31-Datos!W31)/Datos!W31," - ")</f>
        <v>7.1953010279001473E-2</v>
      </c>
      <c r="I31" s="408">
        <f>IF(ISNUMBER((Tasas!C31-Datos!BE31)/Datos!BE31),(Tasas!C31-Datos!BE31)/Datos!BE31," - ")</f>
        <v>0.15439491119856791</v>
      </c>
      <c r="J31" s="409">
        <f>IF(ISNUMBER((Tasas!D31-Datos!BF31)/Datos!BF31),(Tasas!D31-Datos!BF31)/Datos!BF31," - ")</f>
        <v>-0.35216300643695575</v>
      </c>
      <c r="K31" s="410">
        <f>IF(ISNUMBER((Tasas!E31-Datos!BG31)/Datos!BG31),(Tasas!E31-Datos!BG31)/Datos!BG31," - ")</f>
        <v>8.4568266598493459E-3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0.23262979599424627</v>
      </c>
      <c r="E33" s="303">
        <f t="shared" si="1"/>
        <v>5.6266275768034724E-2</v>
      </c>
      <c r="F33" s="303">
        <f t="shared" si="1"/>
        <v>0.30004107812501973</v>
      </c>
      <c r="G33" s="304">
        <f t="shared" si="1"/>
        <v>4.6767584030245647E-2</v>
      </c>
      <c r="H33" s="310">
        <f t="shared" si="1"/>
        <v>0.29324560586448373</v>
      </c>
      <c r="I33" s="302">
        <f t="shared" si="1"/>
        <v>0.36628678414205068</v>
      </c>
      <c r="J33" s="303">
        <f t="shared" si="1"/>
        <v>0.19348367999829977</v>
      </c>
      <c r="K33" s="304">
        <f t="shared" si="1"/>
        <v>0.25949126230109382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Pq3Q47FuD8l+/XQnNMcc/Q8AaPqyoPAUJzKT4zrEMdHAucmgdfzuCcinQMmYyrwTAby4q0A+88u5MrTi7r2Og==" saltValue="ViwlQvSStcdjGHegiFNB6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